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2 - GECOMP\34 - 0062.000185.2023-22 - Limpeza - LEPAC, POC e HRE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5" r:id="rId3"/>
    <sheet name="M2" sheetId="57" r:id="rId4"/>
    <sheet name="Auxiliar de Limpeza - Diurno" sheetId="11" r:id="rId5"/>
    <sheet name="Auxiliar de Limpeza - Noturno" sheetId="70" r:id="rId6"/>
    <sheet name="Uniformes " sheetId="88" r:id="rId7"/>
    <sheet name="Material de Limpeza" sheetId="83" r:id="rId8"/>
    <sheet name="Equipamentos" sheetId="84" r:id="rId9"/>
  </sheets>
  <definedNames>
    <definedName name="_xlnm.Print_Area" localSheetId="4">'Auxiliar de Limpeza - Diurno'!$A$1:$E$112</definedName>
    <definedName name="_xlnm.Print_Area" localSheetId="5">'Auxiliar de Limpeza - Noturno'!$A$1:$E$112</definedName>
    <definedName name="_xlnm.Print_Area" localSheetId="3">'M2'!$A$1:$K$47</definedName>
    <definedName name="_xlnm.Print_Area" localSheetId="7">'Material de Limpeza'!$A$1:$H$61</definedName>
    <definedName name="_xlnm.Print_Area" localSheetId="6">'Uniformes '!$A$1:$H$22</definedName>
    <definedName name="_xlnm.Print_Titles" localSheetId="4">'Auxiliar de Limpeza - Diurno'!$1:$1</definedName>
    <definedName name="_xlnm.Print_Titles" localSheetId="5">'Auxiliar de Limpeza - Noturno'!$1:$1</definedName>
  </definedNames>
  <calcPr calcId="162913" iterateDelta="1E-4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70" l="1"/>
  <c r="E20" i="11"/>
  <c r="H25" i="84"/>
  <c r="H24" i="84"/>
  <c r="H23" i="84"/>
  <c r="H22" i="84"/>
  <c r="H21" i="84"/>
  <c r="H20" i="84"/>
  <c r="H19" i="84"/>
  <c r="H18" i="84"/>
  <c r="H17" i="84"/>
  <c r="H16" i="84"/>
  <c r="H14" i="84"/>
  <c r="H13" i="84"/>
  <c r="H12" i="84"/>
  <c r="H11" i="84"/>
  <c r="H10" i="84"/>
  <c r="H9" i="84"/>
  <c r="H8" i="84"/>
  <c r="H7" i="84"/>
  <c r="H6" i="84"/>
  <c r="H5" i="84"/>
  <c r="H4" i="84"/>
  <c r="H3" i="84"/>
  <c r="G24" i="84"/>
  <c r="G23" i="84"/>
  <c r="G22" i="84"/>
  <c r="G21" i="84"/>
  <c r="G20" i="84"/>
  <c r="G19" i="84"/>
  <c r="G18" i="84"/>
  <c r="G17" i="84"/>
  <c r="G16" i="84"/>
  <c r="G14" i="84"/>
  <c r="G13" i="84"/>
  <c r="G12" i="84"/>
  <c r="G11" i="84"/>
  <c r="G10" i="84"/>
  <c r="G9" i="84"/>
  <c r="G8" i="84"/>
  <c r="G7" i="84"/>
  <c r="G6" i="84"/>
  <c r="G5" i="84"/>
  <c r="G4" i="84"/>
  <c r="G3" i="84"/>
  <c r="H10" i="88"/>
  <c r="H9" i="88"/>
  <c r="H8" i="88"/>
  <c r="H7" i="88"/>
  <c r="H6" i="88"/>
  <c r="H5" i="88"/>
  <c r="G8" i="88"/>
  <c r="G7" i="88"/>
  <c r="G6" i="88"/>
  <c r="G5" i="88"/>
  <c r="E9" i="88"/>
  <c r="E8" i="88"/>
  <c r="E7" i="88"/>
  <c r="E6" i="88"/>
  <c r="E5" i="88"/>
  <c r="G49" i="83"/>
  <c r="H49" i="83"/>
  <c r="H35" i="83"/>
  <c r="H34" i="83"/>
  <c r="H33" i="83"/>
  <c r="H32" i="83"/>
  <c r="H31" i="83"/>
  <c r="H30" i="83"/>
  <c r="H29" i="83"/>
  <c r="H28" i="83"/>
  <c r="H27" i="83"/>
  <c r="H26" i="83"/>
  <c r="H25" i="83"/>
  <c r="H24" i="83"/>
  <c r="H23" i="83"/>
  <c r="H22" i="83"/>
  <c r="H21" i="83"/>
  <c r="H20" i="83"/>
  <c r="H19" i="83"/>
  <c r="H18" i="83"/>
  <c r="H17" i="83"/>
  <c r="H16" i="83"/>
  <c r="H15" i="83"/>
  <c r="H14" i="83"/>
  <c r="H13" i="83"/>
  <c r="H12" i="83"/>
  <c r="H11" i="83"/>
  <c r="H10" i="83"/>
  <c r="H9" i="83"/>
  <c r="H8" i="83"/>
  <c r="H7" i="83"/>
  <c r="H6" i="83"/>
  <c r="H5" i="83"/>
  <c r="H4" i="83"/>
  <c r="H48" i="83"/>
  <c r="H47" i="83"/>
  <c r="H46" i="83"/>
  <c r="H45" i="83"/>
  <c r="H44" i="83"/>
  <c r="H41" i="83"/>
  <c r="H40" i="83"/>
  <c r="H39" i="83"/>
  <c r="H38" i="83"/>
  <c r="G48" i="83"/>
  <c r="G47" i="83"/>
  <c r="G46" i="83"/>
  <c r="G45" i="83"/>
  <c r="G44" i="83"/>
  <c r="G41" i="83"/>
  <c r="G40" i="83"/>
  <c r="G39" i="83"/>
  <c r="G38" i="83"/>
  <c r="G35" i="83"/>
  <c r="G34" i="83"/>
  <c r="G33" i="83"/>
  <c r="G32" i="83"/>
  <c r="G31" i="83"/>
  <c r="G30" i="83"/>
  <c r="G29" i="83"/>
  <c r="G28" i="83"/>
  <c r="G27" i="83"/>
  <c r="G26" i="83"/>
  <c r="G25" i="83"/>
  <c r="G24" i="83"/>
  <c r="G23" i="83"/>
  <c r="G22" i="83"/>
  <c r="G21" i="83"/>
  <c r="G20" i="83"/>
  <c r="G19" i="83"/>
  <c r="G18" i="83"/>
  <c r="G17" i="83"/>
  <c r="G16" i="83"/>
  <c r="G15" i="83"/>
  <c r="G14" i="83"/>
  <c r="G13" i="83"/>
  <c r="G12" i="83"/>
  <c r="G11" i="83"/>
  <c r="G10" i="83"/>
  <c r="G9" i="83"/>
  <c r="G8" i="83"/>
  <c r="G7" i="83"/>
  <c r="G6" i="83"/>
  <c r="G5" i="83"/>
  <c r="G4" i="83"/>
  <c r="F15" i="83" l="1"/>
  <c r="F23" i="83"/>
  <c r="F18" i="83"/>
  <c r="F30" i="83" l="1"/>
  <c r="F29" i="83"/>
  <c r="F28" i="83"/>
  <c r="F27" i="83"/>
  <c r="F26" i="83"/>
  <c r="E48" i="83" l="1"/>
  <c r="E47" i="83"/>
  <c r="E46" i="83"/>
  <c r="E45" i="83"/>
  <c r="E44" i="83"/>
  <c r="E41" i="83"/>
  <c r="E40" i="83"/>
  <c r="E39" i="83"/>
  <c r="E38" i="83"/>
  <c r="E35" i="83"/>
  <c r="E34" i="83"/>
  <c r="E33" i="83"/>
  <c r="E32" i="83"/>
  <c r="E31" i="83"/>
  <c r="E30" i="83"/>
  <c r="E29" i="83"/>
  <c r="E28" i="83"/>
  <c r="E27" i="83"/>
  <c r="E26" i="83"/>
  <c r="E25" i="83"/>
  <c r="E24" i="83"/>
  <c r="E23" i="83"/>
  <c r="E22" i="83"/>
  <c r="E21" i="83"/>
  <c r="E20" i="83"/>
  <c r="E19" i="83"/>
  <c r="E18" i="83"/>
  <c r="E17" i="83"/>
  <c r="E16" i="83"/>
  <c r="E15" i="83"/>
  <c r="E14" i="83"/>
  <c r="E13" i="83"/>
  <c r="E12" i="83"/>
  <c r="E11" i="83"/>
  <c r="E10" i="83"/>
  <c r="E9" i="83"/>
  <c r="E8" i="83"/>
  <c r="E7" i="83"/>
  <c r="E6" i="83"/>
  <c r="E5" i="83"/>
  <c r="E4" i="83"/>
  <c r="D62" i="70" l="1"/>
  <c r="D41" i="70"/>
  <c r="E21" i="70"/>
  <c r="D81" i="11"/>
  <c r="D72" i="11"/>
  <c r="D62" i="11"/>
  <c r="H51" i="83" l="1"/>
  <c r="D98" i="11" l="1"/>
  <c r="D97" i="11"/>
  <c r="D102" i="11" s="1"/>
  <c r="D65" i="11"/>
  <c r="E47" i="11"/>
  <c r="E45" i="11"/>
  <c r="D98" i="70" l="1"/>
  <c r="D97" i="70"/>
  <c r="D102" i="70" s="1"/>
  <c r="D65" i="70"/>
  <c r="E47" i="70"/>
  <c r="E45" i="70"/>
  <c r="D72" i="70" l="1"/>
  <c r="D41" i="11"/>
  <c r="D79" i="70" l="1"/>
  <c r="D81" i="70" s="1"/>
  <c r="E18" i="70" l="1"/>
  <c r="E25" i="70" l="1"/>
  <c r="E85" i="70" l="1"/>
  <c r="C36" i="57"/>
  <c r="C41" i="57"/>
  <c r="C46" i="57"/>
  <c r="C31" i="57"/>
  <c r="I31" i="57"/>
  <c r="E85" i="11" l="1"/>
  <c r="I21" i="57" l="1"/>
  <c r="I16" i="57"/>
  <c r="I11" i="57"/>
  <c r="I6" i="57"/>
  <c r="C26" i="57"/>
  <c r="C21" i="57"/>
  <c r="C16" i="57"/>
  <c r="C11" i="57"/>
  <c r="E41" i="57"/>
  <c r="C6" i="57"/>
  <c r="F41" i="57" l="1"/>
  <c r="E87" i="70" l="1"/>
  <c r="E87" i="11"/>
  <c r="E36" i="57" l="1"/>
  <c r="F36" i="57" s="1"/>
  <c r="D79" i="11" l="1"/>
  <c r="E105" i="70" l="1"/>
  <c r="E49" i="70"/>
  <c r="E53" i="70" s="1"/>
  <c r="E46" i="57"/>
  <c r="C57" i="70" l="1"/>
  <c r="D95" i="70"/>
  <c r="E80" i="70"/>
  <c r="D76" i="70"/>
  <c r="D28" i="70"/>
  <c r="D30" i="70" s="1"/>
  <c r="C61" i="70" l="1"/>
  <c r="E61" i="70" s="1"/>
  <c r="C60" i="70"/>
  <c r="E60" i="70" s="1"/>
  <c r="C59" i="70"/>
  <c r="E59" i="70" s="1"/>
  <c r="C58" i="70"/>
  <c r="E58" i="70" s="1"/>
  <c r="E57" i="70"/>
  <c r="C29" i="70"/>
  <c r="E29" i="70" s="1"/>
  <c r="C28" i="70"/>
  <c r="E28" i="70" s="1"/>
  <c r="E30" i="70" s="1"/>
  <c r="E62" i="70" l="1"/>
  <c r="E107" i="70" s="1"/>
  <c r="E51" i="70"/>
  <c r="C33" i="70"/>
  <c r="E33" i="70" s="1"/>
  <c r="C40" i="70"/>
  <c r="E40" i="70" s="1"/>
  <c r="C39" i="70"/>
  <c r="E39" i="70" s="1"/>
  <c r="C38" i="70"/>
  <c r="E38" i="70" s="1"/>
  <c r="C37" i="70"/>
  <c r="E37" i="70" s="1"/>
  <c r="C36" i="70"/>
  <c r="E36" i="70" s="1"/>
  <c r="C35" i="70"/>
  <c r="E35" i="70" s="1"/>
  <c r="C34" i="70"/>
  <c r="E34" i="70" s="1"/>
  <c r="E41" i="70" l="1"/>
  <c r="E52" i="70" s="1"/>
  <c r="E54" i="70" l="1"/>
  <c r="F46" i="57"/>
  <c r="D76" i="11"/>
  <c r="C65" i="70" l="1"/>
  <c r="C70" i="70"/>
  <c r="E70" i="70" s="1"/>
  <c r="E106" i="70"/>
  <c r="E75" i="70"/>
  <c r="E76" i="70" s="1"/>
  <c r="E65" i="70"/>
  <c r="C71" i="70"/>
  <c r="E71" i="70" s="1"/>
  <c r="C69" i="70"/>
  <c r="E69" i="70" s="1"/>
  <c r="C68" i="70"/>
  <c r="E68" i="70" s="1"/>
  <c r="C67" i="70"/>
  <c r="E67" i="70" s="1"/>
  <c r="C66" i="70"/>
  <c r="E66" i="70" s="1"/>
  <c r="E72" i="70" l="1"/>
  <c r="E79" i="70" s="1"/>
  <c r="E81" i="70" s="1"/>
  <c r="E82" i="70" l="1"/>
  <c r="E108" i="70" s="1"/>
  <c r="E18" i="11" l="1"/>
  <c r="E80" i="11"/>
  <c r="E25" i="11" l="1"/>
  <c r="E105" i="11" l="1"/>
  <c r="C57" i="11"/>
  <c r="E57" i="11" s="1"/>
  <c r="C29" i="11"/>
  <c r="E29" i="11" s="1"/>
  <c r="C28" i="11"/>
  <c r="E49" i="11"/>
  <c r="E53" i="11" s="1"/>
  <c r="C60" i="11" l="1"/>
  <c r="E60" i="11" s="1"/>
  <c r="C58" i="11"/>
  <c r="E58" i="11" s="1"/>
  <c r="C61" i="11"/>
  <c r="E61" i="11" s="1"/>
  <c r="C59" i="11"/>
  <c r="E59" i="11" s="1"/>
  <c r="E62" i="11" l="1"/>
  <c r="E107" i="11" s="1"/>
  <c r="D95" i="11" l="1"/>
  <c r="D28" i="11"/>
  <c r="D30" i="11" s="1"/>
  <c r="E28" i="11" l="1"/>
  <c r="E30" i="11" s="1"/>
  <c r="C35" i="11" s="1"/>
  <c r="E35" i="11" s="1"/>
  <c r="D13" i="2"/>
  <c r="D12" i="2"/>
  <c r="D11" i="2"/>
  <c r="D10" i="2"/>
  <c r="D9" i="2"/>
  <c r="D8" i="2"/>
  <c r="C38" i="11" l="1"/>
  <c r="E38" i="11" s="1"/>
  <c r="C39" i="11"/>
  <c r="E39" i="11" s="1"/>
  <c r="C40" i="11"/>
  <c r="E40" i="11" s="1"/>
  <c r="C37" i="11"/>
  <c r="E37" i="11" s="1"/>
  <c r="C36" i="11"/>
  <c r="E36" i="11" s="1"/>
  <c r="E51" i="11"/>
  <c r="C34" i="11"/>
  <c r="E34" i="11" s="1"/>
  <c r="C33" i="11"/>
  <c r="E33" i="11" s="1"/>
  <c r="E41" i="11" l="1"/>
  <c r="E52" i="11" s="1"/>
  <c r="E54" i="11" s="1"/>
  <c r="C68" i="11" s="1"/>
  <c r="E68" i="11" s="1"/>
  <c r="C69" i="11"/>
  <c r="E69" i="11" s="1"/>
  <c r="E106" i="11"/>
  <c r="C65" i="11" l="1"/>
  <c r="E65" i="11" s="1"/>
  <c r="C70" i="11"/>
  <c r="E70" i="11" s="1"/>
  <c r="E75" i="11"/>
  <c r="E76" i="11" s="1"/>
  <c r="C67" i="11"/>
  <c r="E67" i="11" s="1"/>
  <c r="C66" i="11"/>
  <c r="E66" i="11" s="1"/>
  <c r="C71" i="11"/>
  <c r="E71" i="11" s="1"/>
  <c r="E72" i="11" l="1"/>
  <c r="E79" i="11" s="1"/>
  <c r="E81" i="11" s="1"/>
  <c r="E82" i="11" l="1"/>
  <c r="E108" i="11" s="1"/>
  <c r="E86" i="70"/>
  <c r="E89" i="70" s="1"/>
  <c r="E90" i="70" l="1"/>
  <c r="E109" i="70"/>
  <c r="E110" i="70" s="1"/>
  <c r="E86" i="11"/>
  <c r="E89" i="11" s="1"/>
  <c r="E109" i="11" l="1"/>
  <c r="E110" i="11" s="1"/>
  <c r="E90" i="11"/>
  <c r="C93" i="70"/>
  <c r="E93" i="70" s="1"/>
  <c r="C93" i="11" l="1"/>
  <c r="E93" i="11" s="1"/>
  <c r="C94" i="11" s="1"/>
  <c r="E94" i="11" s="1"/>
  <c r="C94" i="70"/>
  <c r="E94" i="70" s="1"/>
  <c r="E95" i="11" l="1"/>
  <c r="E96" i="11" s="1"/>
  <c r="C100" i="11" s="1"/>
  <c r="E100" i="11" s="1"/>
  <c r="E95" i="70"/>
  <c r="E96" i="70" s="1"/>
  <c r="C99" i="11" l="1"/>
  <c r="E99" i="11" s="1"/>
  <c r="C101" i="11"/>
  <c r="E101" i="11" s="1"/>
  <c r="C101" i="70"/>
  <c r="E101" i="70" s="1"/>
  <c r="C99" i="70"/>
  <c r="E99" i="70" s="1"/>
  <c r="C100" i="70"/>
  <c r="E100" i="70" s="1"/>
  <c r="E102" i="11"/>
  <c r="E103" i="11" s="1"/>
  <c r="E111" i="11" s="1"/>
  <c r="E112" i="11" s="1"/>
  <c r="J31" i="57" l="1"/>
  <c r="K31" i="57" s="1"/>
  <c r="K32" i="57" s="1"/>
  <c r="F18" i="85" s="1"/>
  <c r="G18" i="85" s="1"/>
  <c r="H18" i="85" s="1"/>
  <c r="D31" i="57"/>
  <c r="E31" i="57" s="1"/>
  <c r="E32" i="57" s="1"/>
  <c r="F17" i="85" s="1"/>
  <c r="G17" i="85" s="1"/>
  <c r="H17" i="85" s="1"/>
  <c r="G41" i="57"/>
  <c r="H41" i="57" s="1"/>
  <c r="H42" i="57" s="1"/>
  <c r="F21" i="85" s="1"/>
  <c r="G21" i="85" s="1"/>
  <c r="H21" i="85" s="1"/>
  <c r="G36" i="57"/>
  <c r="H36" i="57" s="1"/>
  <c r="H37" i="57" s="1"/>
  <c r="F20" i="85" s="1"/>
  <c r="G20" i="85" s="1"/>
  <c r="H20" i="85" s="1"/>
  <c r="D21" i="57"/>
  <c r="E21" i="57" s="1"/>
  <c r="E22" i="57" s="1"/>
  <c r="F10" i="85" s="1"/>
  <c r="G10" i="85" s="1"/>
  <c r="H10" i="85" s="1"/>
  <c r="J21" i="57"/>
  <c r="K21" i="57" s="1"/>
  <c r="K22" i="57" s="1"/>
  <c r="F15" i="85" s="1"/>
  <c r="G15" i="85" s="1"/>
  <c r="H15" i="85" s="1"/>
  <c r="D6" i="57"/>
  <c r="E6" i="57" s="1"/>
  <c r="E7" i="57" s="1"/>
  <c r="F6" i="85" s="1"/>
  <c r="G6" i="85" s="1"/>
  <c r="J16" i="57"/>
  <c r="K16" i="57" s="1"/>
  <c r="K17" i="57" s="1"/>
  <c r="F14" i="85" s="1"/>
  <c r="G14" i="85" s="1"/>
  <c r="H14" i="85" s="1"/>
  <c r="J6" i="57"/>
  <c r="K6" i="57" s="1"/>
  <c r="K7" i="57" s="1"/>
  <c r="F12" i="85" s="1"/>
  <c r="G12" i="85" s="1"/>
  <c r="H12" i="85" s="1"/>
  <c r="G46" i="57"/>
  <c r="H46" i="57" s="1"/>
  <c r="H47" i="57" s="1"/>
  <c r="F22" i="85" s="1"/>
  <c r="G22" i="85" s="1"/>
  <c r="H22" i="85" s="1"/>
  <c r="E102" i="70"/>
  <c r="E103" i="70" s="1"/>
  <c r="E111" i="70" s="1"/>
  <c r="E112" i="70" s="1"/>
  <c r="H6" i="85" l="1"/>
  <c r="D16" i="57"/>
  <c r="E16" i="57" s="1"/>
  <c r="E17" i="57" s="1"/>
  <c r="F9" i="85" s="1"/>
  <c r="G9" i="85" s="1"/>
  <c r="H9" i="85" s="1"/>
  <c r="D11" i="57"/>
  <c r="E11" i="57" s="1"/>
  <c r="E12" i="57" s="1"/>
  <c r="F8" i="85" s="1"/>
  <c r="G8" i="85" s="1"/>
  <c r="H8" i="85" s="1"/>
  <c r="D26" i="57"/>
  <c r="E26" i="57" s="1"/>
  <c r="E27" i="57" s="1"/>
  <c r="F11" i="85" s="1"/>
  <c r="G11" i="85" s="1"/>
  <c r="H11" i="85" s="1"/>
  <c r="J11" i="57"/>
  <c r="K11" i="57" s="1"/>
  <c r="K12" i="57" s="1"/>
  <c r="F13" i="85" s="1"/>
  <c r="G13" i="85" s="1"/>
  <c r="H13" i="85" s="1"/>
  <c r="H23" i="85" l="1"/>
  <c r="G23" i="85"/>
</calcChain>
</file>

<file path=xl/sharedStrings.xml><?xml version="1.0" encoding="utf-8"?>
<sst xmlns="http://schemas.openxmlformats.org/spreadsheetml/2006/main" count="868" uniqueCount="392">
  <si>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</si>
  <si>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</si>
  <si>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</si>
  <si>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</si>
  <si>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</si>
  <si>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</si>
  <si>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</si>
  <si>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</si>
  <si>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</si>
  <si>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</si>
  <si>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</si>
  <si>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</si>
  <si>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</si>
  <si>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</si>
  <si>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</si>
  <si>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</si>
  <si>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</si>
  <si>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</si>
  <si>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30% sobre o salário</t>
  </si>
  <si>
    <t>Adicional de Insalubridade</t>
  </si>
  <si>
    <t>Adicional Noturno</t>
  </si>
  <si>
    <t>20% sobre  a hora diurna</t>
  </si>
  <si>
    <t>E</t>
  </si>
  <si>
    <t>H. Extra (+50%) ou H. Normal + 20% de adiconal</t>
  </si>
  <si>
    <t>F</t>
  </si>
  <si>
    <t>G</t>
  </si>
  <si>
    <t>TOTAL DE BENEFÍCIOS MENSAIS E DIÁRIOS</t>
  </si>
  <si>
    <t>Insumos Diversos</t>
  </si>
  <si>
    <t>4.1</t>
  </si>
  <si>
    <t>Encargos previdenciários e FGTS</t>
  </si>
  <si>
    <t>H</t>
  </si>
  <si>
    <t>TOTAL</t>
  </si>
  <si>
    <t>4.2</t>
  </si>
  <si>
    <t>13 º Salário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</si>
  <si>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</si>
  <si>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</si>
  <si>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</si>
  <si>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</si>
  <si>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</si>
  <si>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</si>
  <si>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</si>
  <si>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</si>
  <si>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</si>
  <si>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</si>
  <si>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</si>
  <si>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</si>
  <si>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</si>
  <si>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</si>
  <si>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</si>
  <si>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</si>
  <si>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</si>
  <si>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</si>
  <si>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</si>
  <si>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</si>
  <si>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</si>
  <si>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</si>
  <si>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</si>
  <si>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</si>
  <si>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</si>
  <si>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</si>
  <si>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</si>
  <si>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</si>
  <si>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</si>
  <si>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</si>
  <si>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</si>
  <si>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</si>
  <si>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</si>
  <si>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</si>
  <si>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</si>
  <si>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</si>
  <si>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</si>
  <si>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</si>
  <si>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</si>
  <si>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</si>
  <si>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</si>
  <si>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</si>
  <si>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</si>
  <si>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</si>
  <si>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</si>
  <si>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</si>
  <si>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</si>
  <si>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</si>
  <si>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</si>
  <si>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</si>
  <si>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</si>
  <si>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</si>
  <si>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</si>
  <si>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</si>
  <si>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</si>
  <si>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</si>
  <si>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</si>
  <si>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</si>
  <si>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</si>
  <si>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</si>
  <si>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</si>
  <si>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</si>
  <si>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</si>
  <si>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</si>
  <si>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</si>
  <si>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</si>
  <si>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</si>
  <si>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</si>
  <si>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</si>
  <si>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</si>
  <si>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</si>
  <si>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</si>
  <si>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</si>
  <si>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</si>
  <si>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</si>
  <si>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</si>
  <si>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</si>
  <si>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</si>
  <si>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</si>
  <si>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</si>
  <si>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</si>
  <si>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</si>
  <si>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</si>
  <si>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</si>
  <si>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</si>
  <si>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</si>
  <si>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</si>
  <si>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</si>
  <si>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</si>
  <si>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</si>
  <si>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</si>
  <si>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</si>
  <si>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</si>
  <si>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</si>
  <si>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</si>
  <si>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</si>
  <si>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</si>
  <si>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</si>
  <si>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</si>
  <si>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Área Externa</t>
  </si>
  <si>
    <t>ESPECIFICAÇÃO</t>
  </si>
  <si>
    <t>ITEM</t>
  </si>
  <si>
    <t>1.1</t>
  </si>
  <si>
    <t>2.1</t>
  </si>
  <si>
    <t>2.2</t>
  </si>
  <si>
    <t>3.1</t>
  </si>
  <si>
    <t>Áreas Internas</t>
  </si>
  <si>
    <t>Transporte</t>
  </si>
  <si>
    <t>13º Salário, Férias e Adicional de Férias</t>
  </si>
  <si>
    <t>GPS, FGTS e outras contribuições</t>
  </si>
  <si>
    <t>Beneficios diários e mensais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</si>
  <si>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</si>
  <si>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</si>
  <si>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</si>
  <si>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</si>
  <si>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</si>
  <si>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</si>
  <si>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</si>
  <si>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</si>
  <si>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</si>
  <si>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</si>
  <si>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</si>
  <si>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</si>
  <si>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</si>
  <si>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</si>
  <si>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</si>
  <si>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 xml:space="preserve">ÁREAS HOSPITALARES E ASSEMELHADAS </t>
  </si>
  <si>
    <t>MÃO DE OBRA</t>
  </si>
  <si>
    <t>(2)
PREÇO DO HOMEM-MÊS
(R$)</t>
  </si>
  <si>
    <t>Servente</t>
  </si>
  <si>
    <t>1/350</t>
  </si>
  <si>
    <t>TOTAL:</t>
  </si>
  <si>
    <t>1/550</t>
  </si>
  <si>
    <t>(2)
FREQÜÊNCIA NO MÊS
(HORAS***)</t>
  </si>
  <si>
    <t>(3)
JORNADA DE TRABALHO NO MÊS
(HORAS)</t>
  </si>
  <si>
    <t>(4)
(1 x 2 x 3)
(Ki ****)</t>
  </si>
  <si>
    <t>(5)
PREÇO DO HOMEM-MÊS
(R$)</t>
  </si>
  <si>
    <t>1/450</t>
  </si>
  <si>
    <t>1/2700</t>
  </si>
  <si>
    <t>Unidade</t>
  </si>
  <si>
    <t>Quantidade</t>
  </si>
  <si>
    <t>Valor Unitário</t>
  </si>
  <si>
    <t>Submódulo 2.3 – Beneficios Mensais</t>
  </si>
  <si>
    <t>PRODUTIVIDADE</t>
  </si>
  <si>
    <t>Multa sobre FGTS e Contribuição Social sobre o Aviso Prévio Indenizado e sobre o Aviso Prévio Trabalhado. (Alterado Conf. Lei nº 13.932/2019)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</si>
  <si>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</si>
  <si>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</si>
  <si>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</si>
  <si>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</si>
  <si>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</si>
  <si>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</si>
  <si>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</si>
  <si>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>Submódulo 4.2 - Intrajornada</t>
  </si>
  <si>
    <t>Intervalo para Repouso ou Alimentação</t>
  </si>
  <si>
    <t>TOTAL DO SUBMÓDULO 4.2</t>
  </si>
  <si>
    <t>BASE DE CÁLCULO</t>
  </si>
  <si>
    <t>Valor Total Anual</t>
  </si>
  <si>
    <t>Valor Total Mensal</t>
  </si>
  <si>
    <t>2.3</t>
  </si>
  <si>
    <t>Equipamentos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</si>
  <si>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</si>
  <si>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t>(1)
PRODUTIVIDADE
(1/M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</si>
  <si>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r>
      <t>(1x2)
SUBTOTAL
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</si>
  <si>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r>
      <t>(4x5)
SUBTOTAL
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</si>
  <si>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t>Adicional de Hora Noturna Reduzida</t>
  </si>
  <si>
    <t>DÉCIMO TERCEIRO SALÁRIO, FÉRIAS E ADICIONAL DE FÉRIAS</t>
  </si>
  <si>
    <t xml:space="preserve">FGTS (8,0%) </t>
  </si>
  <si>
    <t>SEBRAE</t>
  </si>
  <si>
    <t xml:space="preserve">Base de cálculo: De acordo com a instrução normativa nº 05/2017 anexo VII nota 3, a base de cálculo neste módulo deverá ser a soma: MÓDULO 1 + SUBMÓDULO 2.1. </t>
  </si>
  <si>
    <t xml:space="preserve">BENEFÍCIOS MENSAIS E DIÁRIOS </t>
  </si>
  <si>
    <t xml:space="preserve">Auxílio alimentação </t>
  </si>
  <si>
    <t>3.0</t>
  </si>
  <si>
    <t>Submódulo 4.1 - Ausências Legais</t>
  </si>
  <si>
    <t xml:space="preserve"> QUADRO-RESUMO DO MÓDULO 4 - CUSTO DE REPOSIÇÃO DO PROFISSIONAL AUSENTE</t>
  </si>
  <si>
    <t>Módulo 4 – Encargos sociais e trabalhistas</t>
  </si>
  <si>
    <t>Uniformes e EPIs</t>
  </si>
  <si>
    <t>Materiais</t>
  </si>
  <si>
    <t>(M-T)      CUSTO TOTAL DA PLANILHA PARA EFEITO DE CÁLCULO DO MÓDULO 5 (M1+M2+M3+M4+M5)</t>
  </si>
  <si>
    <t>Subtotal  para   efeito  de  cálculo  dos Tributos  (MT + MA + MB) FATURAMENTO [(100-8,65)/100]</t>
  </si>
  <si>
    <t>Esquadrias Face Interna e Externa</t>
  </si>
  <si>
    <t>Serviços de Higienização e Limpeza Hospitalar, Laboratorial e Ambulatorial - Higienização, Conservação, Desinfecção de Superfícies e Mobiliários e Recolhimento do Lixo Grupo "D"</t>
  </si>
  <si>
    <t>Auxiliar de Limpeza - Diurno</t>
  </si>
  <si>
    <t>Auxiliar de Limpeza - Noturno</t>
  </si>
  <si>
    <t>Serviços de Higienização e Limpeza Hospitalar</t>
  </si>
  <si>
    <t>Vida Útil (Meses)</t>
  </si>
  <si>
    <t>Face interna sem exposição a situação de risco</t>
  </si>
  <si>
    <t>1/700</t>
  </si>
  <si>
    <t>1/900</t>
  </si>
  <si>
    <t>Item</t>
  </si>
  <si>
    <t xml:space="preserve">TOTAL MENSAL </t>
  </si>
  <si>
    <t>Quantidade Anual</t>
  </si>
  <si>
    <t>1/650</t>
  </si>
  <si>
    <t>1/1300</t>
  </si>
  <si>
    <t>3.3</t>
  </si>
  <si>
    <t>1/380</t>
  </si>
  <si>
    <t>UND.</t>
  </si>
  <si>
    <t>QTD.</t>
  </si>
  <si>
    <r>
      <rPr>
        <b/>
        <sz val="11"/>
        <rFont val="Calibri"/>
        <family val="2"/>
        <scheme val="minor"/>
      </rPr>
      <t>VALOR TOTAL
(Mensal)</t>
    </r>
  </si>
  <si>
    <t>VALOR TOTAL (12 meses)</t>
  </si>
  <si>
    <t>Áreas administrativas</t>
  </si>
  <si>
    <t>1.1.1.</t>
  </si>
  <si>
    <t>Áreas operacionais administrativas - Administração</t>
  </si>
  <si>
    <t>1.2.</t>
  </si>
  <si>
    <t>Áreas Hospitalares e assemelhadas</t>
  </si>
  <si>
    <t>1.2.1</t>
  </si>
  <si>
    <t>Áreas Críticas - diurno - Áreas operacionais hospitalares.</t>
  </si>
  <si>
    <t>1.2.2</t>
  </si>
  <si>
    <t>Áreas Críticas - noturno - Áreas operacionais hospitalares.</t>
  </si>
  <si>
    <t>1.2.3</t>
  </si>
  <si>
    <t>Áreas Semi - críticas - diurno - Áreas operacionais hospitalares</t>
  </si>
  <si>
    <t>1.2.4</t>
  </si>
  <si>
    <t>Áreas Semi - críticas - noturno - Áreas operacionais hospitalares</t>
  </si>
  <si>
    <t>1.2.5</t>
  </si>
  <si>
    <t>Áreas Semi - críticas - diurno - Áreas de circulação</t>
  </si>
  <si>
    <t>1.2.6</t>
  </si>
  <si>
    <t>Áreas Semi - críticas - noturno - Áreas de circulação</t>
  </si>
  <si>
    <t>1.2.7</t>
  </si>
  <si>
    <t>Áreas Não Críticas - diurno - Áreas operacionais hospitalares</t>
  </si>
  <si>
    <t>1.2.8</t>
  </si>
  <si>
    <t>Áreas Não Críticas - diurno - Áreas de circulação</t>
  </si>
  <si>
    <t>Pisos pavimentados adjacentes às edificações (depósito de gás, bomba e compressor)</t>
  </si>
  <si>
    <t>Caixa D'água (nível 7,95m)</t>
  </si>
  <si>
    <t>Face externa sem exposição a situação de risco</t>
  </si>
  <si>
    <t>3.2</t>
  </si>
  <si>
    <t>Face externa com exposição a situação de risco</t>
  </si>
  <si>
    <t>VALOR TOTAL:</t>
  </si>
  <si>
    <t xml:space="preserve">PLANILHA DE CUSTO </t>
  </si>
  <si>
    <t>LEPAC</t>
  </si>
  <si>
    <t>Consumo Bimestral</t>
  </si>
  <si>
    <t>Consumo Semestral</t>
  </si>
  <si>
    <t>Descrição</t>
  </si>
  <si>
    <t>Consumo Mensal</t>
  </si>
  <si>
    <t>Material Permanente</t>
  </si>
  <si>
    <t>1/800</t>
  </si>
  <si>
    <t>Áreas Críticas - diurno - Áreas operacionais hospitalares</t>
  </si>
  <si>
    <t>Áreas Críticas - noturno - Áreas operacionais hospitalare</t>
  </si>
  <si>
    <t>1/160</t>
  </si>
  <si>
    <t>EQUIPAMENTOS</t>
  </si>
  <si>
    <t xml:space="preserve">MATERIAL </t>
  </si>
  <si>
    <t xml:space="preserve">Valor Total </t>
  </si>
  <si>
    <t>INFORMAÇÃO :</t>
  </si>
  <si>
    <t>UNIFORMES E EPI (POR FUNCIONÁRIO)</t>
  </si>
  <si>
    <t xml:space="preserve">AUXILIAR DE LIMPEZA, LIMPADOR DE FACHADA E ENCARREGADO </t>
  </si>
  <si>
    <t>Ordem</t>
  </si>
  <si>
    <t>Uniformes</t>
  </si>
  <si>
    <t xml:space="preserve">Periodicidade </t>
  </si>
  <si>
    <t>Valor Mensal</t>
  </si>
  <si>
    <t xml:space="preserve"> Calça</t>
  </si>
  <si>
    <t>6 meses</t>
  </si>
  <si>
    <t>Camisa</t>
  </si>
  <si>
    <t>Crachá</t>
  </si>
  <si>
    <t>Par de calçados</t>
  </si>
  <si>
    <t>Bloqueador solar 30 (trinta) FPS</t>
  </si>
  <si>
    <t>TOTAL MENSAL POR FUNCIONÁRIO</t>
  </si>
  <si>
    <t xml:space="preserve">INFORMAÇÃO: </t>
  </si>
  <si>
    <t>M²</t>
  </si>
  <si>
    <t xml:space="preserve">VALOR UNITÁRIO  (M²) </t>
  </si>
  <si>
    <t>Férias (8,33%) e Adicional de Férias (2,78%)</t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</si>
  <si>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</si>
  <si>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</si>
  <si>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</si>
  <si>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</si>
  <si>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</si>
  <si>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</si>
  <si>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>RO000003/2025</t>
  </si>
  <si>
    <t>40% * 1.518,00</t>
  </si>
  <si>
    <t>SAL.BASE *50%*0,0199*2/12</t>
  </si>
  <si>
    <t>Incidência do submódulo 2.2 sobre aviso prévio trabalhado (36,80% sobre o valor do Aviso Prévio Trabalhado)</t>
  </si>
  <si>
    <t>Substituto na Cobertura de Ausências Legais (faltas legais)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</si>
  <si>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</si>
  <si>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</si>
  <si>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</si>
  <si>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</si>
  <si>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</si>
  <si>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</si>
  <si>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</si>
  <si>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</si>
  <si>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>Subtotal (A+B+C+ D+E)</t>
  </si>
  <si>
    <r>
      <t xml:space="preserve">Devido à fase de elaboração do Estudo Técnico Preliminar, ainda não foi possível definir as especificações ou quantidades dos uniformes necessários. Para contornar essa lacuna e agilizar o processo, o departamento encarregado de criar planilhas decidiu recorrer à Cláusula Trigésima da Convenção Coletiva de Trabalho RO000003/2025, estipulada pelo Sindicato das Empresas de Asseio, Conservação, Limpeza Pública e Locação de Mão-de-Obra do Estado de Rondônia.
De acordo com essa cláusula, as empresas são obrigadas a fornecer uniformes completos aos seus funcionários. </t>
    </r>
    <r>
      <rPr>
        <b/>
        <sz val="11"/>
        <rFont val="Calibri"/>
        <family val="2"/>
        <scheme val="minor"/>
      </rPr>
      <t>Um uniforme completo consiste, no mínimo, em duas calças, duas camisas, um crachá e um par de calçados, os quais devem ser substituídos a cada seis meses.</t>
    </r>
    <r>
      <rPr>
        <sz val="11"/>
        <rFont val="Calibri"/>
        <family val="2"/>
        <scheme val="minor"/>
      </rPr>
      <t xml:space="preserve"> Além disso, as empresas devem fornecer os equipamentos de proteção individual e coletiva necessários conforme as normas regulamentadoras.
Para os trabalhadores que estão expostos ao sol ou à chuva, as empresas têm a responsabilidade de disponibilizar </t>
    </r>
    <r>
      <rPr>
        <b/>
        <sz val="11"/>
        <rFont val="Calibri"/>
        <family val="2"/>
        <scheme val="minor"/>
      </rPr>
      <t>capas impermeáveis, bloqueador solar com fator de proteção acima de 30 (FPS)</t>
    </r>
    <r>
      <rPr>
        <sz val="11"/>
        <rFont val="Calibri"/>
        <family val="2"/>
        <scheme val="minor"/>
      </rPr>
      <t xml:space="preserve"> e outros acessórios essenciais para garantir a proteção adequada.
</t>
    </r>
  </si>
  <si>
    <t>KIT CARRINHO DE LIMPEZA PROFISSIONAL
01 Balde espremedor
01 Placa de sinalização “piso molhado”
01 Pá plástica para lixo
01 Mop pó 60cm
01 Mop úmido cru</t>
  </si>
  <si>
    <t>HIPOCLORITO DE SÓDIO</t>
  </si>
  <si>
    <t>DESINFETANTE MULTIUSO (TIPO VEJA)</t>
  </si>
  <si>
    <t>DESINFETANTE EUCALÍPTO/LAVANDA</t>
  </si>
  <si>
    <t>SABONETE LIQUIDO</t>
  </si>
  <si>
    <t>DETERGENTE LÍQUIDO</t>
  </si>
  <si>
    <t>ALCOOL EM GEL</t>
  </si>
  <si>
    <t>MASCÁRAS PFF2/N95</t>
  </si>
  <si>
    <t>LUVA AMARELA (M)</t>
  </si>
  <si>
    <t>LUVA AZUL (M)</t>
  </si>
  <si>
    <t>TOUCA DESCARTÁVEL</t>
  </si>
  <si>
    <t>AROMATIZADOR DE AR SPRAY</t>
  </si>
  <si>
    <t>PANO MULTI USO</t>
  </si>
  <si>
    <t>FIBRA LIMPEZA LEVE</t>
  </si>
  <si>
    <t>FIBRA LIMPEZA PESADA</t>
  </si>
  <si>
    <t>DESINFETANTE HOSPITALAR (PEROX)</t>
  </si>
  <si>
    <t>BORRIFADOR</t>
  </si>
  <si>
    <t>ESPONJA DUPLA FACE</t>
  </si>
  <si>
    <t>REFIL MOP UMIDO</t>
  </si>
  <si>
    <t>PAPEL HIGIÊNICO 300 MTS</t>
  </si>
  <si>
    <t>PAPEL HIGIÊNICO 30 MTS</t>
  </si>
  <si>
    <t>PAPEL TOALHA 1000 FLS</t>
  </si>
  <si>
    <t>PANO DE CHÃO</t>
  </si>
  <si>
    <t>SACO DE LIXO 100 LTS</t>
  </si>
  <si>
    <t>SACO DE LIXO 60 LTS</t>
  </si>
  <si>
    <t>SACO DE LIXO 40 LTS</t>
  </si>
  <si>
    <t>SACO DE LIXO 20 LTS</t>
  </si>
  <si>
    <t>LIMPA VIDRO</t>
  </si>
  <si>
    <t>ALCOOL EM 70% LÍQUIDO</t>
  </si>
  <si>
    <t>LUSTRA MÓVEIS</t>
  </si>
  <si>
    <t>REMOVEDOR MULTIUSO LIMPEZA</t>
  </si>
  <si>
    <t>MÁSCARA DESCARTÁVEL</t>
  </si>
  <si>
    <t>ESPONJA DE AÇO</t>
  </si>
  <si>
    <t>ESCOVA PARA AZULEIJOS E RECANTOS</t>
  </si>
  <si>
    <t>RODO 40 CM</t>
  </si>
  <si>
    <t>RODO 60 CM</t>
  </si>
  <si>
    <t>SÓDA CÁUSTICA</t>
  </si>
  <si>
    <t>BALDE 15L</t>
  </si>
  <si>
    <t>ESCOVA SANITÁRIA</t>
  </si>
  <si>
    <t>VASSOURA</t>
  </si>
  <si>
    <t>ESFREGÃO</t>
  </si>
  <si>
    <t>AVENTAL IMPERMEÁVEL</t>
  </si>
  <si>
    <t>UNIDADE</t>
  </si>
  <si>
    <t>500 GRAMAS</t>
  </si>
  <si>
    <t>LITROS</t>
  </si>
  <si>
    <t>FRASCO</t>
  </si>
  <si>
    <t>PAR</t>
  </si>
  <si>
    <t>FRASCO 500ML</t>
  </si>
  <si>
    <t>ROLO COM 600</t>
  </si>
  <si>
    <t>PACOTE</t>
  </si>
  <si>
    <t>KIT</t>
  </si>
  <si>
    <t>ENCERADEIRA INDUSTRIAL /220 W GRANDE</t>
  </si>
  <si>
    <t>CARRINHO DE MÃO</t>
  </si>
  <si>
    <t>ESCADA PORTÁTIL</t>
  </si>
  <si>
    <t>EXTENSÃO ELÉTRICA/ 20 METROS</t>
  </si>
  <si>
    <t>TESOURA DE JARDIM</t>
  </si>
  <si>
    <t>ENXADA</t>
  </si>
  <si>
    <t>RASTELO</t>
  </si>
  <si>
    <t>PÁ DE LIXO</t>
  </si>
  <si>
    <t>LAVADORA ALTA PRESSÃO</t>
  </si>
  <si>
    <t>FACÃO</t>
  </si>
  <si>
    <t>CAPA DE CHUVA</t>
  </si>
  <si>
    <t>DISPENSADORES PARA ÁLCOOL GEL</t>
  </si>
  <si>
    <t>DISPENSADORES PARA SABONETE LÍQUIDO (400ML)</t>
  </si>
  <si>
    <t>DISPENSADORES PARA PAPEL TOALHA</t>
  </si>
  <si>
    <t>DISPENSER PAPEL HIGIENICO</t>
  </si>
  <si>
    <t>LIXEIRA COM TAMPA/PEDAL DE 30L (LIXO COMUM)</t>
  </si>
  <si>
    <t>LIXEIRA COM TAMPA/PEDAL DE 60L (LIXO COMUM)</t>
  </si>
  <si>
    <t>CARROS DE 200L COM TAMPA PARA TRANSPORTE INTERNO DE RESÍDUOS</t>
  </si>
  <si>
    <t>CONTÊINERES DE 360L COM TAMPA PARA ABRIGO EXTERNO DE RESÍDUOS</t>
  </si>
  <si>
    <t>DETERGENTE LÍQUIDO -   O valor cotado para o referido item foi R$20,00, todavia, o valor corresponde a embalgem com 5 litros, sendo assim, devido o fato de o TR solicitar em litro, o valor unitário corresponde a R$20,00/5 = 4,00.</t>
  </si>
  <si>
    <t>PANO MULTI USO - O valor cotado para o referido item foi R$3,00, todavia, o valor corresponde a a embalgem com  50 unidade, sendo assim, devido o fato de o TR solicitar caixa com 600 unidades, o valor unitário corresponde a R$3,00*12 = 36,00.</t>
  </si>
  <si>
    <t>DESINFETANTE HOSPITALAR (PEROX)  -   O valor cotado para o referido item foi R$143,14, todavia, o valor corresponde a embalgem com 5 litros, sendo assim, devido o fato de o TR solicitar em litro, o valor unitário corresponde a R$143,14/5 = 28,63.</t>
  </si>
  <si>
    <t>PAPEL HIGIÊNICO 30 MTS- O valor cotado para o referido item foi R$7,00, todavia, o valor corresponde a embalgem com 8 rolos, sendo assim, devido o fato de o TR solicitar a unidade, o valor unitário corresponde a R$7,00/8= 0,88.</t>
  </si>
  <si>
    <t>SACO DE LIXO 100 LTS  - O valor cotado para o referido item foi R$28,50, todavia, o valor corresponde a pacote com 100 unidades, sendo assim, devido o fato de o TR solicitar em unidade, o valor unitário corresponde a R$28,50/100 = 0,29.</t>
  </si>
  <si>
    <t>SACO DE LIXO 60 LTS  - O valor cotado para o referido item foi R$14,10, todavia, o valor corresponde a pacote com 100 unidades, sendo assim, devido o fato de o TR solicitar em unidade, o valor unitário corresponde a R$14,10/100 = 0,14.</t>
  </si>
  <si>
    <t>SACO DE LIXO 40 LTS  - O valor cotado para o referido item foi R$8,41, todavia, o valor corresponde a pacote com 100 unidades, sendo assim, devido o fato de o TR solicitar em unidade, o valor unitário corresponde a R$8,41/100 = 0,08.</t>
  </si>
  <si>
    <t>SACO DE LIXO 20 LTS  - O valor cotado para o referido item foi R$7,58, todavia, o valor corresponde a pacote com 100 unidades, sendo assim, devido o fato de o TR solicitar em unidade, o valor unitário corresponde a R$7,58/100 = 0,08.</t>
  </si>
  <si>
    <t>LIMPA VIDRO  - O valor cotado para o referido item foi R$3,52, todavia, o valor corresponde a embalagem com 500 ml, sendo assim, devido o fato de o TR solicitar em embalagem com 1L, o valor unitário corresponde a R$3,52*2 = 7,04.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</si>
</sst>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  <numFmt numFmtId="166" formatCode="&quot;R$ &quot;#,##0.00"/>
    <numFmt numFmtId="167" formatCode="0.0000000"/>
    <numFmt numFmtId="168" formatCode="0.00000000"/>
    <numFmt numFmtId="169" formatCode="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0" fontId="31" fillId="0" borderId="0"/>
    <xf numFmtId="43" fontId="1" fillId="0" borderId="0" applyFont="0" applyFill="0" applyBorder="0" applyAlignment="0" applyProtection="0"/>
  </cellStyleXfs>
  <cellXfs count="516">
    <xf numFmtId="0" fontId="0" fillId="0" borderId="0" xfId="0"/>
    <xf numFmtId="0" fontId="6" fillId="2" borderId="15" xfId="0" applyFont="1" applyFill="1" applyBorder="1" applyAlignment="1">
      <alignment wrapText="1"/>
    </xf>
    <xf numFmtId="0" fontId="6" fillId="2" borderId="16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6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6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/>
    <xf numFmtId="0" fontId="9" fillId="2" borderId="17" xfId="0" applyFont="1" applyFill="1" applyBorder="1" applyAlignment="1">
      <alignment horizontal="center" wrapText="1"/>
    </xf>
    <xf numFmtId="0" fontId="0" fillId="0" borderId="16" xfId="0" applyBorder="1"/>
    <xf numFmtId="0" fontId="0" fillId="0" borderId="16" xfId="0" applyBorder="1" applyAlignment="1">
      <alignment horizontal="center"/>
    </xf>
    <xf numFmtId="0" fontId="0" fillId="3" borderId="16" xfId="0" applyFill="1" applyBorder="1"/>
    <xf numFmtId="0" fontId="0" fillId="3" borderId="16" xfId="0" applyFill="1" applyBorder="1" applyAlignment="1">
      <alignment horizontal="center"/>
    </xf>
    <xf numFmtId="0" fontId="0" fillId="0" borderId="17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justify" vertical="center" wrapText="1"/>
    </xf>
    <xf numFmtId="0" fontId="19" fillId="0" borderId="20" xfId="0" applyFont="1" applyBorder="1" applyAlignment="1">
      <alignment horizontal="justify" vertical="center" wrapText="1"/>
    </xf>
    <xf numFmtId="0" fontId="19" fillId="0" borderId="14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21" xfId="0" applyFont="1" applyBorder="1" applyAlignment="1">
      <alignment horizontal="justify" vertical="center" wrapText="1"/>
    </xf>
    <xf numFmtId="0" fontId="19" fillId="0" borderId="22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3" fillId="0" borderId="4" xfId="0" applyFont="1" applyBorder="1" applyAlignment="1">
      <alignment horizontal="center" vertical="center" wrapText="1"/>
    </xf>
    <xf numFmtId="4" fontId="22" fillId="0" borderId="4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justify" vertical="center"/>
    </xf>
    <xf numFmtId="4" fontId="22" fillId="2" borderId="4" xfId="5" applyNumberFormat="1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righ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3" fillId="2" borderId="28" xfId="5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3" fillId="0" borderId="1" xfId="5" applyFont="1" applyBorder="1" applyAlignment="1">
      <alignment vertical="center" wrapText="1"/>
    </xf>
    <xf numFmtId="0" fontId="22" fillId="0" borderId="28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2" fillId="0" borderId="4" xfId="0" applyFont="1" applyBorder="1" applyAlignment="1">
      <alignment vertical="center"/>
    </xf>
    <xf numFmtId="10" fontId="22" fillId="0" borderId="4" xfId="2" applyNumberFormat="1" applyFont="1" applyFill="1" applyBorder="1" applyAlignment="1">
      <alignment horizontal="center" vertical="center"/>
    </xf>
    <xf numFmtId="164" fontId="23" fillId="2" borderId="4" xfId="2" applyNumberFormat="1" applyFont="1" applyFill="1" applyBorder="1" applyAlignment="1">
      <alignment horizontal="justify" vertical="center"/>
    </xf>
    <xf numFmtId="164" fontId="23" fillId="0" borderId="4" xfId="2" applyNumberFormat="1" applyFont="1" applyFill="1" applyBorder="1" applyAlignment="1">
      <alignment horizontal="justify" vertical="center"/>
    </xf>
    <xf numFmtId="164" fontId="23" fillId="0" borderId="4" xfId="2" applyNumberFormat="1" applyFont="1" applyFill="1" applyBorder="1" applyAlignment="1">
      <alignment vertical="center"/>
    </xf>
    <xf numFmtId="0" fontId="23" fillId="2" borderId="4" xfId="5" applyFont="1" applyFill="1" applyBorder="1" applyAlignment="1">
      <alignment horizontal="center" vertical="center" wrapText="1"/>
    </xf>
    <xf numFmtId="0" fontId="23" fillId="0" borderId="1" xfId="5" applyFont="1" applyBorder="1" applyAlignment="1">
      <alignment vertical="center"/>
    </xf>
    <xf numFmtId="0" fontId="26" fillId="0" borderId="4" xfId="6" applyFont="1" applyFill="1" applyBorder="1" applyAlignment="1" applyProtection="1">
      <alignment horizontal="justify" vertical="center"/>
    </xf>
    <xf numFmtId="0" fontId="22" fillId="0" borderId="1" xfId="5" applyFont="1" applyBorder="1" applyAlignment="1">
      <alignment vertical="center" wrapText="1"/>
    </xf>
    <xf numFmtId="0" fontId="23" fillId="0" borderId="10" xfId="5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168" fontId="23" fillId="0" borderId="4" xfId="0" applyNumberFormat="1" applyFont="1" applyBorder="1" applyAlignment="1">
      <alignment horizontal="center" vertical="center"/>
    </xf>
    <xf numFmtId="166" fontId="23" fillId="0" borderId="4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10" fontId="23" fillId="5" borderId="4" xfId="2" applyNumberFormat="1" applyFont="1" applyFill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22" fillId="0" borderId="9" xfId="0" applyNumberFormat="1" applyFont="1" applyBorder="1" applyAlignment="1">
      <alignment horizontal="center" vertical="center"/>
    </xf>
    <xf numFmtId="0" fontId="23" fillId="4" borderId="28" xfId="5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vertical="center" wrapText="1"/>
    </xf>
    <xf numFmtId="165" fontId="22" fillId="0" borderId="26" xfId="0" applyNumberFormat="1" applyFont="1" applyBorder="1" applyAlignment="1">
      <alignment horizontal="center" vertical="center"/>
    </xf>
    <xf numFmtId="165" fontId="23" fillId="5" borderId="26" xfId="0" applyNumberFormat="1" applyFont="1" applyFill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165" fontId="23" fillId="2" borderId="26" xfId="5" applyNumberFormat="1" applyFont="1" applyFill="1" applyBorder="1" applyAlignment="1">
      <alignment horizontal="center" vertical="center" wrapText="1"/>
    </xf>
    <xf numFmtId="165" fontId="22" fillId="2" borderId="26" xfId="0" applyNumberFormat="1" applyFont="1" applyFill="1" applyBorder="1" applyAlignment="1">
      <alignment horizontal="center" vertical="center"/>
    </xf>
    <xf numFmtId="165" fontId="22" fillId="2" borderId="26" xfId="0" quotePrefix="1" applyNumberFormat="1" applyFont="1" applyFill="1" applyBorder="1" applyAlignment="1">
      <alignment horizontal="center" vertical="center"/>
    </xf>
    <xf numFmtId="165" fontId="23" fillId="6" borderId="26" xfId="0" applyNumberFormat="1" applyFont="1" applyFill="1" applyBorder="1" applyAlignment="1">
      <alignment horizontal="center" vertical="center"/>
    </xf>
    <xf numFmtId="165" fontId="23" fillId="4" borderId="26" xfId="5" applyNumberFormat="1" applyFont="1" applyFill="1" applyBorder="1" applyAlignment="1">
      <alignment horizontal="center" vertical="center" wrapText="1"/>
    </xf>
    <xf numFmtId="165" fontId="23" fillId="0" borderId="26" xfId="5" applyNumberFormat="1" applyFont="1" applyBorder="1" applyAlignment="1">
      <alignment horizontal="center" vertical="center" wrapText="1"/>
    </xf>
    <xf numFmtId="165" fontId="22" fillId="0" borderId="26" xfId="0" quotePrefix="1" applyNumberFormat="1" applyFont="1" applyBorder="1" applyAlignment="1">
      <alignment horizontal="center" vertical="center"/>
    </xf>
    <xf numFmtId="165" fontId="23" fillId="2" borderId="26" xfId="0" applyNumberFormat="1" applyFont="1" applyFill="1" applyBorder="1" applyAlignment="1">
      <alignment horizontal="center" vertical="center"/>
    </xf>
    <xf numFmtId="0" fontId="23" fillId="0" borderId="3" xfId="5" applyFont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165" fontId="23" fillId="6" borderId="31" xfId="0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vertical="center" wrapText="1"/>
    </xf>
    <xf numFmtId="0" fontId="22" fillId="0" borderId="4" xfId="5" applyFont="1" applyBorder="1" applyAlignment="1">
      <alignment horizontal="left" vertical="center" wrapText="1"/>
    </xf>
    <xf numFmtId="4" fontId="22" fillId="0" borderId="4" xfId="2" applyNumberFormat="1" applyFont="1" applyFill="1" applyBorder="1" applyAlignment="1">
      <alignment horizontal="center" vertical="center"/>
    </xf>
    <xf numFmtId="10" fontId="22" fillId="0" borderId="9" xfId="2" applyNumberFormat="1" applyFont="1" applyFill="1" applyBorder="1" applyAlignment="1">
      <alignment horizontal="center" vertical="center"/>
    </xf>
    <xf numFmtId="165" fontId="23" fillId="5" borderId="24" xfId="0" applyNumberFormat="1" applyFont="1" applyFill="1" applyBorder="1" applyAlignment="1">
      <alignment horizontal="center" vertical="center"/>
    </xf>
    <xf numFmtId="165" fontId="23" fillId="3" borderId="26" xfId="5" applyNumberFormat="1" applyFont="1" applyFill="1" applyBorder="1" applyAlignment="1">
      <alignment horizontal="center" vertical="center" wrapText="1"/>
    </xf>
    <xf numFmtId="165" fontId="23" fillId="0" borderId="26" xfId="0" applyNumberFormat="1" applyFont="1" applyBorder="1" applyAlignment="1">
      <alignment horizontal="center" vertical="center"/>
    </xf>
    <xf numFmtId="165" fontId="23" fillId="5" borderId="36" xfId="0" applyNumberFormat="1" applyFont="1" applyFill="1" applyBorder="1" applyAlignment="1">
      <alignment horizontal="center" vertical="center"/>
    </xf>
    <xf numFmtId="165" fontId="23" fillId="4" borderId="26" xfId="0" applyNumberFormat="1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167" fontId="23" fillId="0" borderId="4" xfId="0" applyNumberFormat="1" applyFont="1" applyBorder="1" applyAlignment="1">
      <alignment horizontal="center" vertical="center"/>
    </xf>
    <xf numFmtId="165" fontId="23" fillId="6" borderId="27" xfId="0" applyNumberFormat="1" applyFont="1" applyFill="1" applyBorder="1" applyAlignment="1">
      <alignment horizontal="center" vertical="center"/>
    </xf>
    <xf numFmtId="165" fontId="22" fillId="0" borderId="14" xfId="0" applyNumberFormat="1" applyFont="1" applyBorder="1" applyAlignment="1">
      <alignment horizontal="center" vertical="center"/>
    </xf>
    <xf numFmtId="165" fontId="22" fillId="0" borderId="26" xfId="1" applyNumberFormat="1" applyFont="1" applyFill="1" applyBorder="1" applyAlignment="1">
      <alignment horizontal="center" vertical="center"/>
    </xf>
    <xf numFmtId="165" fontId="22" fillId="0" borderId="51" xfId="0" applyNumberFormat="1" applyFont="1" applyBorder="1" applyAlignment="1">
      <alignment horizontal="center" vertical="center"/>
    </xf>
    <xf numFmtId="10" fontId="23" fillId="6" borderId="4" xfId="5" applyNumberFormat="1" applyFont="1" applyFill="1" applyBorder="1" applyAlignment="1">
      <alignment horizontal="center" vertical="center" wrapText="1"/>
    </xf>
    <xf numFmtId="0" fontId="27" fillId="2" borderId="37" xfId="0" applyFont="1" applyFill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/>
    </xf>
    <xf numFmtId="0" fontId="22" fillId="2" borderId="37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horizontal="center" vertical="center"/>
    </xf>
    <xf numFmtId="165" fontId="22" fillId="2" borderId="45" xfId="0" applyNumberFormat="1" applyFont="1" applyFill="1" applyBorder="1" applyAlignment="1">
      <alignment horizontal="center" vertical="center" wrapText="1"/>
    </xf>
    <xf numFmtId="165" fontId="22" fillId="2" borderId="16" xfId="0" applyNumberFormat="1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23" fillId="2" borderId="28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168" fontId="23" fillId="2" borderId="4" xfId="0" applyNumberFormat="1" applyFont="1" applyFill="1" applyBorder="1" applyAlignment="1">
      <alignment horizontal="center" vertical="center"/>
    </xf>
    <xf numFmtId="166" fontId="23" fillId="2" borderId="4" xfId="0" applyNumberFormat="1" applyFont="1" applyFill="1" applyBorder="1" applyAlignment="1">
      <alignment horizontal="center" vertical="center"/>
    </xf>
    <xf numFmtId="166" fontId="23" fillId="2" borderId="26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/>
    </xf>
    <xf numFmtId="0" fontId="22" fillId="0" borderId="26" xfId="0" applyFont="1" applyBorder="1" applyAlignment="1">
      <alignment horizontal="center" vertical="center" wrapText="1"/>
    </xf>
    <xf numFmtId="166" fontId="23" fillId="0" borderId="26" xfId="0" applyNumberFormat="1" applyFont="1" applyBorder="1" applyAlignment="1">
      <alignment horizontal="center" vertical="center"/>
    </xf>
    <xf numFmtId="166" fontId="23" fillId="0" borderId="36" xfId="0" applyNumberFormat="1" applyFont="1" applyBorder="1" applyAlignment="1">
      <alignment horizontal="center" vertical="center"/>
    </xf>
    <xf numFmtId="0" fontId="22" fillId="2" borderId="45" xfId="0" applyFont="1" applyFill="1" applyBorder="1" applyAlignment="1">
      <alignment horizontal="center" vertical="center"/>
    </xf>
    <xf numFmtId="166" fontId="23" fillId="2" borderId="36" xfId="0" applyNumberFormat="1" applyFont="1" applyFill="1" applyBorder="1" applyAlignment="1">
      <alignment horizontal="center" vertical="center"/>
    </xf>
    <xf numFmtId="0" fontId="23" fillId="2" borderId="37" xfId="0" applyFont="1" applyFill="1" applyBorder="1" applyAlignment="1">
      <alignment horizontal="right" vertical="center"/>
    </xf>
    <xf numFmtId="166" fontId="23" fillId="2" borderId="45" xfId="0" applyNumberFormat="1" applyFont="1" applyFill="1" applyBorder="1" applyAlignment="1">
      <alignment horizontal="center" vertical="center"/>
    </xf>
    <xf numFmtId="0" fontId="31" fillId="0" borderId="0" xfId="7" applyAlignment="1">
      <alignment horizontal="left" vertical="top"/>
    </xf>
    <xf numFmtId="0" fontId="23" fillId="5" borderId="28" xfId="7" applyFont="1" applyFill="1" applyBorder="1" applyAlignment="1">
      <alignment horizontal="center" vertical="center" wrapText="1"/>
    </xf>
    <xf numFmtId="165" fontId="22" fillId="2" borderId="4" xfId="7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right" vertical="center" wrapText="1"/>
    </xf>
    <xf numFmtId="167" fontId="23" fillId="2" borderId="0" xfId="0" applyNumberFormat="1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166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right" vertical="center"/>
    </xf>
    <xf numFmtId="0" fontId="23" fillId="2" borderId="1" xfId="5" applyFont="1" applyFill="1" applyBorder="1" applyAlignment="1">
      <alignment vertical="center" wrapText="1"/>
    </xf>
    <xf numFmtId="4" fontId="23" fillId="2" borderId="26" xfId="5" applyNumberFormat="1" applyFont="1" applyFill="1" applyBorder="1" applyAlignment="1">
      <alignment horizontal="center" vertical="center" wrapText="1"/>
    </xf>
    <xf numFmtId="0" fontId="32" fillId="0" borderId="0" xfId="10" applyFill="1" applyBorder="1" applyAlignment="1">
      <alignment horizontal="left" vertical="top"/>
    </xf>
    <xf numFmtId="0" fontId="22" fillId="2" borderId="18" xfId="10" applyFont="1" applyFill="1" applyBorder="1" applyAlignment="1">
      <alignment horizontal="center" vertical="center" wrapText="1"/>
    </xf>
    <xf numFmtId="2" fontId="22" fillId="2" borderId="18" xfId="10" applyNumberFormat="1" applyFont="1" applyFill="1" applyBorder="1" applyAlignment="1">
      <alignment horizontal="center" vertical="center" shrinkToFit="1"/>
    </xf>
    <xf numFmtId="0" fontId="22" fillId="2" borderId="15" xfId="10" applyFont="1" applyFill="1" applyBorder="1" applyAlignment="1">
      <alignment horizontal="center" vertical="center" wrapText="1"/>
    </xf>
    <xf numFmtId="2" fontId="30" fillId="2" borderId="15" xfId="10" applyNumberFormat="1" applyFont="1" applyFill="1" applyBorder="1" applyAlignment="1">
      <alignment horizontal="center" vertical="center" shrinkToFit="1"/>
    </xf>
    <xf numFmtId="0" fontId="22" fillId="2" borderId="16" xfId="10" applyFont="1" applyFill="1" applyBorder="1" applyAlignment="1">
      <alignment horizontal="center" vertical="center" wrapText="1"/>
    </xf>
    <xf numFmtId="2" fontId="30" fillId="2" borderId="16" xfId="10" applyNumberFormat="1" applyFont="1" applyFill="1" applyBorder="1" applyAlignment="1">
      <alignment horizontal="center" vertical="center" shrinkToFit="1"/>
    </xf>
    <xf numFmtId="2" fontId="30" fillId="2" borderId="17" xfId="10" applyNumberFormat="1" applyFont="1" applyFill="1" applyBorder="1" applyAlignment="1">
      <alignment horizontal="center" vertical="center" shrinkToFit="1"/>
    </xf>
    <xf numFmtId="2" fontId="22" fillId="2" borderId="17" xfId="10" applyNumberFormat="1" applyFont="1" applyFill="1" applyBorder="1" applyAlignment="1">
      <alignment horizontal="center" vertical="center" shrinkToFit="1"/>
    </xf>
    <xf numFmtId="0" fontId="22" fillId="2" borderId="0" xfId="0" applyFont="1" applyFill="1" applyAlignment="1">
      <alignment horizontal="center" vertical="center"/>
    </xf>
    <xf numFmtId="0" fontId="23" fillId="5" borderId="13" xfId="10" applyFont="1" applyFill="1" applyBorder="1" applyAlignment="1">
      <alignment vertical="center" wrapText="1"/>
    </xf>
    <xf numFmtId="0" fontId="23" fillId="5" borderId="11" xfId="10" applyFont="1" applyFill="1" applyBorder="1" applyAlignment="1">
      <alignment vertical="center" wrapText="1"/>
    </xf>
    <xf numFmtId="0" fontId="23" fillId="5" borderId="14" xfId="10" applyFont="1" applyFill="1" applyBorder="1" applyAlignment="1">
      <alignment vertical="center" wrapText="1"/>
    </xf>
    <xf numFmtId="0" fontId="23" fillId="2" borderId="0" xfId="0" applyFont="1" applyFill="1" applyBorder="1" applyAlignment="1">
      <alignment horizontal="right" vertical="center"/>
    </xf>
    <xf numFmtId="166" fontId="23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22" fillId="2" borderId="45" xfId="0" applyFont="1" applyFill="1" applyBorder="1" applyAlignment="1">
      <alignment vertical="center"/>
    </xf>
    <xf numFmtId="0" fontId="22" fillId="2" borderId="41" xfId="0" applyFont="1" applyFill="1" applyBorder="1" applyAlignment="1">
      <alignment vertical="center"/>
    </xf>
    <xf numFmtId="0" fontId="22" fillId="2" borderId="19" xfId="0" applyFont="1" applyFill="1" applyBorder="1" applyAlignment="1">
      <alignment vertical="center"/>
    </xf>
    <xf numFmtId="165" fontId="33" fillId="7" borderId="18" xfId="10" applyNumberFormat="1" applyFont="1" applyFill="1" applyBorder="1" applyAlignment="1">
      <alignment horizontal="center" vertical="center" wrapText="1"/>
    </xf>
    <xf numFmtId="165" fontId="30" fillId="2" borderId="45" xfId="10" applyNumberFormat="1" applyFont="1" applyFill="1" applyBorder="1" applyAlignment="1">
      <alignment horizontal="center" vertical="center" wrapText="1"/>
    </xf>
    <xf numFmtId="165" fontId="22" fillId="2" borderId="18" xfId="10" applyNumberFormat="1" applyFont="1" applyFill="1" applyBorder="1" applyAlignment="1">
      <alignment horizontal="center" vertical="center" wrapText="1"/>
    </xf>
    <xf numFmtId="165" fontId="30" fillId="2" borderId="15" xfId="10" applyNumberFormat="1" applyFont="1" applyFill="1" applyBorder="1" applyAlignment="1">
      <alignment horizontal="center" vertical="center" wrapText="1"/>
    </xf>
    <xf numFmtId="165" fontId="22" fillId="2" borderId="17" xfId="10" applyNumberFormat="1" applyFont="1" applyFill="1" applyBorder="1" applyAlignment="1">
      <alignment horizontal="center" vertical="center" wrapText="1"/>
    </xf>
    <xf numFmtId="165" fontId="30" fillId="2" borderId="16" xfId="10" applyNumberFormat="1" applyFont="1" applyFill="1" applyBorder="1" applyAlignment="1">
      <alignment horizontal="center" vertical="center" wrapText="1"/>
    </xf>
    <xf numFmtId="165" fontId="30" fillId="2" borderId="19" xfId="10" applyNumberFormat="1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3" fillId="5" borderId="54" xfId="7" applyFont="1" applyFill="1" applyBorder="1" applyAlignment="1">
      <alignment horizontal="center" vertical="center" wrapText="1"/>
    </xf>
    <xf numFmtId="0" fontId="23" fillId="5" borderId="54" xfId="0" applyFont="1" applyFill="1" applyBorder="1" applyAlignment="1">
      <alignment horizontal="center" vertical="center"/>
    </xf>
    <xf numFmtId="0" fontId="23" fillId="5" borderId="54" xfId="0" applyFont="1" applyFill="1" applyBorder="1" applyAlignment="1">
      <alignment horizontal="center" vertical="center" wrapText="1"/>
    </xf>
    <xf numFmtId="0" fontId="31" fillId="0" borderId="0" xfId="7" applyBorder="1" applyAlignment="1">
      <alignment horizontal="left" vertical="top"/>
    </xf>
    <xf numFmtId="0" fontId="23" fillId="5" borderId="26" xfId="0" applyFont="1" applyFill="1" applyBorder="1" applyAlignment="1">
      <alignment horizontal="center" vertical="center" wrapText="1"/>
    </xf>
    <xf numFmtId="0" fontId="23" fillId="5" borderId="55" xfId="7" applyFont="1" applyFill="1" applyBorder="1" applyAlignment="1">
      <alignment horizontal="center" vertical="center" wrapText="1"/>
    </xf>
    <xf numFmtId="0" fontId="23" fillId="5" borderId="24" xfId="0" applyFont="1" applyFill="1" applyBorder="1" applyAlignment="1">
      <alignment horizontal="center" vertical="center" wrapText="1"/>
    </xf>
    <xf numFmtId="0" fontId="23" fillId="5" borderId="4" xfId="7" applyFont="1" applyFill="1" applyBorder="1" applyAlignment="1">
      <alignment horizontal="center" vertical="center" wrapText="1"/>
    </xf>
    <xf numFmtId="1" fontId="22" fillId="2" borderId="4" xfId="7" applyNumberFormat="1" applyFont="1" applyFill="1" applyBorder="1" applyAlignment="1">
      <alignment horizontal="center" vertical="center" shrinkToFit="1"/>
    </xf>
    <xf numFmtId="165" fontId="22" fillId="2" borderId="26" xfId="7" applyNumberFormat="1" applyFont="1" applyFill="1" applyBorder="1" applyAlignment="1">
      <alignment horizontal="center" vertical="center"/>
    </xf>
    <xf numFmtId="165" fontId="22" fillId="2" borderId="9" xfId="7" applyNumberFormat="1" applyFont="1" applyFill="1" applyBorder="1" applyAlignment="1">
      <alignment horizontal="center" vertical="center"/>
    </xf>
    <xf numFmtId="165" fontId="22" fillId="2" borderId="51" xfId="7" applyNumberFormat="1" applyFont="1" applyFill="1" applyBorder="1" applyAlignment="1">
      <alignment horizontal="center" vertical="center"/>
    </xf>
    <xf numFmtId="1" fontId="22" fillId="2" borderId="32" xfId="0" applyNumberFormat="1" applyFont="1" applyFill="1" applyBorder="1" applyAlignment="1">
      <alignment horizontal="center" vertical="center" shrinkToFit="1"/>
    </xf>
    <xf numFmtId="0" fontId="22" fillId="2" borderId="9" xfId="0" applyFont="1" applyFill="1" applyBorder="1" applyAlignment="1">
      <alignment horizontal="center" vertical="center" wrapText="1"/>
    </xf>
    <xf numFmtId="169" fontId="22" fillId="2" borderId="9" xfId="0" applyNumberFormat="1" applyFont="1" applyFill="1" applyBorder="1" applyAlignment="1">
      <alignment horizontal="center" vertical="center" shrinkToFit="1"/>
    </xf>
    <xf numFmtId="1" fontId="22" fillId="2" borderId="28" xfId="0" applyNumberFormat="1" applyFont="1" applyFill="1" applyBorder="1" applyAlignment="1">
      <alignment horizontal="center" vertical="center" shrinkToFit="1"/>
    </xf>
    <xf numFmtId="169" fontId="22" fillId="2" borderId="4" xfId="0" applyNumberFormat="1" applyFont="1" applyFill="1" applyBorder="1" applyAlignment="1">
      <alignment horizontal="center" vertical="center" shrinkToFit="1"/>
    </xf>
    <xf numFmtId="0" fontId="23" fillId="5" borderId="47" xfId="0" applyFont="1" applyFill="1" applyBorder="1" applyAlignment="1">
      <alignment horizontal="center" vertical="center"/>
    </xf>
    <xf numFmtId="165" fontId="22" fillId="2" borderId="4" xfId="0" applyNumberFormat="1" applyFont="1" applyFill="1" applyBorder="1" applyAlignment="1">
      <alignment horizontal="center" vertical="center"/>
    </xf>
    <xf numFmtId="165" fontId="22" fillId="2" borderId="4" xfId="12" applyNumberFormat="1" applyFont="1" applyFill="1" applyBorder="1" applyAlignment="1">
      <alignment horizontal="center" vertical="center"/>
    </xf>
    <xf numFmtId="165" fontId="22" fillId="2" borderId="26" xfId="12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30" fillId="2" borderId="4" xfId="0" applyNumberFormat="1" applyFont="1" applyFill="1" applyBorder="1" applyAlignment="1">
      <alignment horizontal="center" vertical="center" shrinkToFit="1"/>
    </xf>
    <xf numFmtId="0" fontId="0" fillId="0" borderId="9" xfId="0" applyFont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1" fontId="30" fillId="2" borderId="9" xfId="0" applyNumberFormat="1" applyFont="1" applyFill="1" applyBorder="1" applyAlignment="1">
      <alignment horizontal="center" vertical="center" shrinkToFit="1"/>
    </xf>
    <xf numFmtId="165" fontId="22" fillId="2" borderId="9" xfId="12" applyNumberFormat="1" applyFont="1" applyFill="1" applyBorder="1" applyAlignment="1">
      <alignment horizontal="center" vertical="center"/>
    </xf>
    <xf numFmtId="165" fontId="22" fillId="2" borderId="51" xfId="12" applyNumberFormat="1" applyFont="1" applyFill="1" applyBorder="1" applyAlignment="1">
      <alignment horizontal="center" vertical="center"/>
    </xf>
    <xf numFmtId="165" fontId="2" fillId="7" borderId="1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23" fillId="5" borderId="18" xfId="10" applyFont="1" applyFill="1" applyBorder="1" applyAlignment="1">
      <alignment horizontal="center" vertical="center" wrapText="1"/>
    </xf>
    <xf numFmtId="0" fontId="30" fillId="5" borderId="18" xfId="10" applyFont="1" applyFill="1" applyBorder="1" applyAlignment="1">
      <alignment horizontal="center" vertical="center" wrapText="1"/>
    </xf>
    <xf numFmtId="1" fontId="22" fillId="2" borderId="4" xfId="0" applyNumberFormat="1" applyFont="1" applyFill="1" applyBorder="1" applyAlignment="1">
      <alignment horizontal="center" vertical="center" shrinkToFit="1"/>
    </xf>
    <xf numFmtId="1" fontId="22" fillId="2" borderId="9" xfId="0" applyNumberFormat="1" applyFont="1" applyFill="1" applyBorder="1" applyAlignment="1">
      <alignment horizontal="center" vertical="center" shrinkToFit="1"/>
    </xf>
    <xf numFmtId="0" fontId="23" fillId="2" borderId="11" xfId="10" applyFont="1" applyFill="1" applyBorder="1" applyAlignment="1">
      <alignment vertical="center" wrapText="1"/>
    </xf>
    <xf numFmtId="0" fontId="23" fillId="2" borderId="14" xfId="10" applyFont="1" applyFill="1" applyBorder="1" applyAlignment="1">
      <alignment vertical="center" wrapText="1"/>
    </xf>
    <xf numFmtId="0" fontId="33" fillId="2" borderId="18" xfId="10" applyNumberFormat="1" applyFont="1" applyFill="1" applyBorder="1" applyAlignment="1">
      <alignment horizontal="center" vertical="center" shrinkToFit="1"/>
    </xf>
    <xf numFmtId="0" fontId="23" fillId="2" borderId="18" xfId="10" applyNumberFormat="1" applyFont="1" applyFill="1" applyBorder="1" applyAlignment="1">
      <alignment horizontal="center" vertical="center" wrapText="1"/>
    </xf>
    <xf numFmtId="0" fontId="23" fillId="2" borderId="16" xfId="10" applyNumberFormat="1" applyFont="1" applyFill="1" applyBorder="1" applyAlignment="1">
      <alignment horizontal="center" vertical="center" wrapText="1"/>
    </xf>
    <xf numFmtId="0" fontId="23" fillId="5" borderId="18" xfId="10" applyNumberFormat="1" applyFont="1" applyFill="1" applyBorder="1" applyAlignment="1">
      <alignment horizontal="center" vertical="center" wrapText="1"/>
    </xf>
    <xf numFmtId="0" fontId="33" fillId="5" borderId="18" xfId="10" applyNumberFormat="1" applyFont="1" applyFill="1" applyBorder="1" applyAlignment="1">
      <alignment horizontal="center" vertical="center" shrinkToFit="1"/>
    </xf>
    <xf numFmtId="0" fontId="23" fillId="2" borderId="15" xfId="10" applyNumberFormat="1" applyFont="1" applyFill="1" applyBorder="1" applyAlignment="1">
      <alignment horizontal="center" vertical="center" wrapText="1"/>
    </xf>
    <xf numFmtId="165" fontId="22" fillId="2" borderId="4" xfId="5" applyNumberFormat="1" applyFont="1" applyFill="1" applyBorder="1" applyAlignment="1">
      <alignment horizontal="center" vertical="center"/>
    </xf>
    <xf numFmtId="0" fontId="22" fillId="2" borderId="4" xfId="5" applyFont="1" applyFill="1" applyBorder="1" applyAlignment="1">
      <alignment vertical="center"/>
    </xf>
    <xf numFmtId="165" fontId="22" fillId="2" borderId="26" xfId="5" applyNumberFormat="1" applyFont="1" applyFill="1" applyBorder="1" applyAlignment="1">
      <alignment horizontal="center" vertical="center"/>
    </xf>
    <xf numFmtId="2" fontId="23" fillId="5" borderId="11" xfId="10" applyNumberFormat="1" applyFont="1" applyFill="1" applyBorder="1" applyAlignment="1">
      <alignment vertical="center" wrapText="1"/>
    </xf>
    <xf numFmtId="0" fontId="22" fillId="2" borderId="17" xfId="10" applyFont="1" applyFill="1" applyBorder="1" applyAlignment="1">
      <alignment horizontal="center" vertical="center" wrapText="1"/>
    </xf>
    <xf numFmtId="0" fontId="0" fillId="0" borderId="42" xfId="0" applyFont="1" applyBorder="1" applyAlignment="1">
      <alignment horizontal="left" vertical="center"/>
    </xf>
    <xf numFmtId="0" fontId="22" fillId="2" borderId="4" xfId="0" applyFont="1" applyFill="1" applyBorder="1" applyAlignment="1">
      <alignment vertical="center"/>
    </xf>
    <xf numFmtId="0" fontId="22" fillId="2" borderId="4" xfId="5" applyFont="1" applyFill="1" applyBorder="1" applyAlignment="1">
      <alignment vertical="center" wrapText="1"/>
    </xf>
    <xf numFmtId="0" fontId="23" fillId="4" borderId="4" xfId="5" applyFont="1" applyFill="1" applyBorder="1" applyAlignment="1">
      <alignment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/>
    </xf>
    <xf numFmtId="0" fontId="23" fillId="0" borderId="4" xfId="6" applyFont="1" applyFill="1" applyBorder="1" applyAlignment="1" applyProtection="1">
      <alignment horizontal="left" vertical="center"/>
    </xf>
    <xf numFmtId="0" fontId="2" fillId="4" borderId="28" xfId="5" applyFont="1" applyFill="1" applyBorder="1" applyAlignment="1">
      <alignment horizontal="center"/>
    </xf>
    <xf numFmtId="0" fontId="2" fillId="4" borderId="4" xfId="5" applyFont="1" applyFill="1" applyBorder="1" applyAlignment="1">
      <alignment vertical="center" wrapText="1"/>
    </xf>
    <xf numFmtId="0" fontId="22" fillId="2" borderId="28" xfId="5" applyFont="1" applyFill="1" applyBorder="1" applyAlignment="1">
      <alignment horizontal="center"/>
    </xf>
    <xf numFmtId="0" fontId="22" fillId="2" borderId="28" xfId="5" applyFont="1" applyFill="1" applyBorder="1" applyAlignment="1">
      <alignment horizontal="center" vertical="center" wrapText="1"/>
    </xf>
    <xf numFmtId="0" fontId="23" fillId="0" borderId="4" xfId="5" applyFont="1" applyBorder="1" applyAlignment="1">
      <alignment vertical="center" wrapText="1"/>
    </xf>
    <xf numFmtId="0" fontId="22" fillId="2" borderId="1" xfId="5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/>
    <xf numFmtId="0" fontId="0" fillId="2" borderId="45" xfId="0" applyFont="1" applyFill="1" applyBorder="1"/>
    <xf numFmtId="0" fontId="0" fillId="2" borderId="41" xfId="0" applyFont="1" applyFill="1" applyBorder="1"/>
    <xf numFmtId="0" fontId="0" fillId="2" borderId="19" xfId="0" applyFont="1" applyFill="1" applyBorder="1"/>
    <xf numFmtId="0" fontId="23" fillId="0" borderId="4" xfId="0" applyFont="1" applyBorder="1" applyAlignment="1">
      <alignment vertical="center"/>
    </xf>
    <xf numFmtId="0" fontId="0" fillId="2" borderId="28" xfId="0" applyFont="1" applyFill="1" applyBorder="1" applyAlignment="1">
      <alignment horizontal="center" vertical="center"/>
    </xf>
    <xf numFmtId="0" fontId="0" fillId="2" borderId="32" xfId="0" applyFont="1" applyFill="1" applyBorder="1" applyAlignment="1">
      <alignment horizontal="center" vertical="center"/>
    </xf>
    <xf numFmtId="165" fontId="23" fillId="7" borderId="18" xfId="7" applyNumberFormat="1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left" vertical="center" wrapText="1"/>
    </xf>
    <xf numFmtId="0" fontId="22" fillId="2" borderId="4" xfId="7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28" xfId="5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0" borderId="28" xfId="5" applyFont="1" applyBorder="1" applyAlignment="1">
      <alignment horizontal="center" vertical="center" wrapText="1"/>
    </xf>
    <xf numFmtId="10" fontId="0" fillId="0" borderId="4" xfId="0" applyNumberFormat="1" applyFont="1" applyBorder="1" applyAlignment="1">
      <alignment horizontal="center" vertical="center"/>
    </xf>
    <xf numFmtId="0" fontId="22" fillId="0" borderId="9" xfId="5" applyFont="1" applyBorder="1" applyAlignment="1">
      <alignment vertical="center" wrapText="1"/>
    </xf>
    <xf numFmtId="10" fontId="22" fillId="0" borderId="4" xfId="0" applyNumberFormat="1" applyFont="1" applyBorder="1" applyAlignment="1">
      <alignment horizontal="center" vertical="center"/>
    </xf>
    <xf numFmtId="10" fontId="23" fillId="0" borderId="44" xfId="0" applyNumberFormat="1" applyFont="1" applyBorder="1" applyAlignment="1">
      <alignment horizontal="center" vertical="center"/>
    </xf>
    <xf numFmtId="0" fontId="22" fillId="0" borderId="32" xfId="5" applyFont="1" applyBorder="1" applyAlignment="1">
      <alignment horizontal="center" vertical="center" wrapText="1"/>
    </xf>
    <xf numFmtId="0" fontId="23" fillId="2" borderId="11" xfId="10" applyFont="1" applyFill="1" applyBorder="1" applyAlignment="1">
      <alignment horizontal="center" vertical="center" wrapText="1"/>
    </xf>
    <xf numFmtId="0" fontId="22" fillId="2" borderId="0" xfId="10" applyFont="1" applyFill="1" applyBorder="1" applyAlignment="1">
      <alignment horizontal="center" vertical="center" wrapText="1"/>
    </xf>
    <xf numFmtId="0" fontId="23" fillId="5" borderId="13" xfId="10" applyFont="1" applyFill="1" applyBorder="1" applyAlignment="1">
      <alignment horizontal="center" vertical="center" wrapText="1"/>
    </xf>
    <xf numFmtId="0" fontId="22" fillId="2" borderId="0" xfId="10" applyFont="1" applyFill="1" applyBorder="1" applyAlignment="1">
      <alignment horizontal="center" vertical="center"/>
    </xf>
    <xf numFmtId="0" fontId="22" fillId="2" borderId="53" xfId="10" applyFont="1" applyFill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23" fillId="5" borderId="47" xfId="0" applyFont="1" applyFill="1" applyBorder="1" applyAlignment="1">
      <alignment horizontal="center" vertical="center" wrapText="1"/>
    </xf>
    <xf numFmtId="0" fontId="23" fillId="5" borderId="48" xfId="0" applyFont="1" applyFill="1" applyBorder="1" applyAlignment="1">
      <alignment horizontal="center" vertical="center" wrapText="1"/>
    </xf>
    <xf numFmtId="1" fontId="22" fillId="0" borderId="28" xfId="0" applyNumberFormat="1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wrapText="1"/>
    </xf>
    <xf numFmtId="169" fontId="22" fillId="0" borderId="4" xfId="0" applyNumberFormat="1" applyFont="1" applyFill="1" applyBorder="1" applyAlignment="1">
      <alignment horizontal="center" vertical="center" shrinkToFit="1"/>
    </xf>
    <xf numFmtId="0" fontId="22" fillId="0" borderId="4" xfId="7" applyFont="1" applyBorder="1" applyAlignment="1">
      <alignment horizontal="center" vertical="center"/>
    </xf>
    <xf numFmtId="165" fontId="22" fillId="0" borderId="4" xfId="7" applyNumberFormat="1" applyFont="1" applyBorder="1" applyAlignment="1">
      <alignment horizontal="center" vertical="center"/>
    </xf>
    <xf numFmtId="165" fontId="22" fillId="0" borderId="26" xfId="7" applyNumberFormat="1" applyFont="1" applyBorder="1" applyAlignment="1">
      <alignment horizontal="center" vertical="center"/>
    </xf>
    <xf numFmtId="0" fontId="23" fillId="5" borderId="46" xfId="7" applyFont="1" applyFill="1" applyBorder="1" applyAlignment="1">
      <alignment horizontal="center" vertical="center" wrapText="1"/>
    </xf>
    <xf numFmtId="0" fontId="23" fillId="5" borderId="47" xfId="7" applyFont="1" applyFill="1" applyBorder="1" applyAlignment="1">
      <alignment horizontal="center" vertical="center" wrapText="1"/>
    </xf>
    <xf numFmtId="1" fontId="22" fillId="2" borderId="49" xfId="0" applyNumberFormat="1" applyFont="1" applyFill="1" applyBorder="1" applyAlignment="1">
      <alignment horizontal="center" vertical="center" shrinkToFit="1"/>
    </xf>
    <xf numFmtId="0" fontId="22" fillId="2" borderId="50" xfId="0" applyFont="1" applyFill="1" applyBorder="1" applyAlignment="1">
      <alignment horizontal="left" vertical="center" wrapText="1"/>
    </xf>
    <xf numFmtId="169" fontId="22" fillId="2" borderId="50" xfId="0" applyNumberFormat="1" applyFont="1" applyFill="1" applyBorder="1" applyAlignment="1">
      <alignment horizontal="center" vertical="center" shrinkToFit="1"/>
    </xf>
    <xf numFmtId="165" fontId="22" fillId="2" borderId="50" xfId="7" applyNumberFormat="1" applyFont="1" applyFill="1" applyBorder="1" applyAlignment="1">
      <alignment horizontal="center" vertical="center"/>
    </xf>
    <xf numFmtId="165" fontId="22" fillId="2" borderId="36" xfId="7" applyNumberFormat="1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3" fillId="5" borderId="56" xfId="7" applyFont="1" applyFill="1" applyBorder="1" applyAlignment="1">
      <alignment horizontal="center" vertical="center" wrapText="1"/>
    </xf>
    <xf numFmtId="0" fontId="23" fillId="5" borderId="57" xfId="7" applyFont="1" applyFill="1" applyBorder="1" applyAlignment="1">
      <alignment horizontal="center" vertical="center" wrapText="1"/>
    </xf>
    <xf numFmtId="0" fontId="23" fillId="5" borderId="57" xfId="0" applyFont="1" applyFill="1" applyBorder="1" applyAlignment="1">
      <alignment horizontal="center" vertical="center" wrapText="1"/>
    </xf>
    <xf numFmtId="0" fontId="23" fillId="5" borderId="58" xfId="0" applyFont="1" applyFill="1" applyBorder="1" applyAlignment="1">
      <alignment horizontal="center" vertical="center" wrapText="1"/>
    </xf>
    <xf numFmtId="0" fontId="22" fillId="2" borderId="4" xfId="7" applyFont="1" applyFill="1" applyBorder="1" applyAlignment="1">
      <alignment horizontal="center" vertical="center" wrapText="1"/>
    </xf>
    <xf numFmtId="0" fontId="22" fillId="2" borderId="47" xfId="0" applyFont="1" applyFill="1" applyBorder="1" applyAlignment="1">
      <alignment horizontal="left" vertical="center" wrapText="1"/>
    </xf>
    <xf numFmtId="0" fontId="22" fillId="2" borderId="47" xfId="0" applyFont="1" applyFill="1" applyBorder="1" applyAlignment="1">
      <alignment horizontal="center" vertical="center" wrapText="1"/>
    </xf>
    <xf numFmtId="169" fontId="22" fillId="2" borderId="47" xfId="0" applyNumberFormat="1" applyFont="1" applyFill="1" applyBorder="1" applyAlignment="1">
      <alignment horizontal="center" vertical="center" shrinkToFit="1"/>
    </xf>
    <xf numFmtId="0" fontId="22" fillId="2" borderId="47" xfId="7" applyFont="1" applyFill="1" applyBorder="1" applyAlignment="1">
      <alignment horizontal="center" vertical="center" wrapText="1"/>
    </xf>
    <xf numFmtId="165" fontId="22" fillId="2" borderId="47" xfId="7" applyNumberFormat="1" applyFont="1" applyFill="1" applyBorder="1" applyAlignment="1">
      <alignment horizontal="center" vertical="center"/>
    </xf>
    <xf numFmtId="165" fontId="22" fillId="2" borderId="48" xfId="7" applyNumberFormat="1" applyFont="1" applyFill="1" applyBorder="1" applyAlignment="1">
      <alignment horizontal="center" vertical="center"/>
    </xf>
    <xf numFmtId="0" fontId="22" fillId="2" borderId="50" xfId="7" applyFont="1" applyFill="1" applyBorder="1" applyAlignment="1">
      <alignment horizontal="center" vertical="center" wrapText="1"/>
    </xf>
    <xf numFmtId="0" fontId="23" fillId="2" borderId="46" xfId="7" applyFont="1" applyFill="1" applyBorder="1" applyAlignment="1">
      <alignment horizontal="center" vertical="center" wrapText="1"/>
    </xf>
    <xf numFmtId="165" fontId="23" fillId="5" borderId="20" xfId="7" applyNumberFormat="1" applyFont="1" applyFill="1" applyBorder="1" applyAlignment="1">
      <alignment horizontal="center" vertical="center"/>
    </xf>
    <xf numFmtId="165" fontId="23" fillId="5" borderId="17" xfId="7" applyNumberFormat="1" applyFont="1" applyFill="1" applyBorder="1" applyAlignment="1">
      <alignment horizontal="center" vertical="center"/>
    </xf>
    <xf numFmtId="1" fontId="22" fillId="2" borderId="46" xfId="0" applyNumberFormat="1" applyFont="1" applyFill="1" applyBorder="1" applyAlignment="1">
      <alignment horizontal="center" vertical="center" shrinkToFit="1"/>
    </xf>
    <xf numFmtId="0" fontId="22" fillId="2" borderId="49" xfId="0" applyFont="1" applyFill="1" applyBorder="1" applyAlignment="1">
      <alignment horizontal="center" vertical="center" wrapText="1"/>
    </xf>
    <xf numFmtId="165" fontId="33" fillId="5" borderId="44" xfId="7" applyNumberFormat="1" applyFont="1" applyFill="1" applyBorder="1" applyAlignment="1">
      <alignment horizontal="center" vertical="center"/>
    </xf>
    <xf numFmtId="165" fontId="33" fillId="5" borderId="12" xfId="7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65" fontId="33" fillId="7" borderId="15" xfId="7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8" xfId="0" applyFont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/>
    </xf>
    <xf numFmtId="0" fontId="23" fillId="7" borderId="44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/>
    </xf>
    <xf numFmtId="0" fontId="33" fillId="7" borderId="22" xfId="10" applyFont="1" applyFill="1" applyBorder="1" applyAlignment="1">
      <alignment horizontal="center" wrapText="1"/>
    </xf>
    <xf numFmtId="0" fontId="33" fillId="7" borderId="53" xfId="10" applyFont="1" applyFill="1" applyBorder="1" applyAlignment="1">
      <alignment horizontal="center"/>
    </xf>
    <xf numFmtId="0" fontId="33" fillId="7" borderId="21" xfId="10" applyFont="1" applyFill="1" applyBorder="1" applyAlignment="1">
      <alignment horizontal="center"/>
    </xf>
    <xf numFmtId="0" fontId="27" fillId="7" borderId="13" xfId="0" applyFont="1" applyFill="1" applyBorder="1" applyAlignment="1">
      <alignment horizontal="center" vertical="center" wrapText="1"/>
    </xf>
    <xf numFmtId="0" fontId="27" fillId="7" borderId="11" xfId="0" applyFont="1" applyFill="1" applyBorder="1" applyAlignment="1">
      <alignment horizontal="center" vertical="center" wrapText="1"/>
    </xf>
    <xf numFmtId="0" fontId="27" fillId="7" borderId="14" xfId="0" applyFont="1" applyFill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right" vertical="center"/>
    </xf>
    <xf numFmtId="0" fontId="23" fillId="2" borderId="34" xfId="0" applyFont="1" applyFill="1" applyBorder="1" applyAlignment="1">
      <alignment horizontal="right" vertical="center"/>
    </xf>
    <xf numFmtId="0" fontId="23" fillId="2" borderId="35" xfId="0" applyFont="1" applyFill="1" applyBorder="1" applyAlignment="1">
      <alignment horizontal="right" vertical="center"/>
    </xf>
    <xf numFmtId="0" fontId="23" fillId="2" borderId="13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46" xfId="0" applyFont="1" applyFill="1" applyBorder="1" applyAlignment="1">
      <alignment horizontal="center" vertical="center"/>
    </xf>
    <xf numFmtId="0" fontId="23" fillId="2" borderId="47" xfId="0" applyFont="1" applyFill="1" applyBorder="1" applyAlignment="1">
      <alignment horizontal="center" vertical="center"/>
    </xf>
    <xf numFmtId="0" fontId="23" fillId="2" borderId="48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3" fillId="2" borderId="38" xfId="0" applyFont="1" applyFill="1" applyBorder="1" applyAlignment="1">
      <alignment horizontal="center" vertical="center"/>
    </xf>
    <xf numFmtId="0" fontId="23" fillId="2" borderId="39" xfId="0" applyFont="1" applyFill="1" applyBorder="1" applyAlignment="1">
      <alignment horizontal="center" vertical="center"/>
    </xf>
    <xf numFmtId="0" fontId="23" fillId="2" borderId="40" xfId="0" applyFont="1" applyFill="1" applyBorder="1" applyAlignment="1">
      <alignment horizontal="center" vertical="center"/>
    </xf>
    <xf numFmtId="0" fontId="23" fillId="2" borderId="49" xfId="0" applyFont="1" applyFill="1" applyBorder="1" applyAlignment="1">
      <alignment horizontal="right" vertical="center"/>
    </xf>
    <xf numFmtId="0" fontId="23" fillId="2" borderId="50" xfId="0" applyFont="1" applyFill="1" applyBorder="1" applyAlignment="1">
      <alignment horizontal="right" vertical="center"/>
    </xf>
    <xf numFmtId="0" fontId="23" fillId="2" borderId="46" xfId="0" applyFont="1" applyFill="1" applyBorder="1" applyAlignment="1">
      <alignment horizontal="center" vertical="center" wrapText="1"/>
    </xf>
    <xf numFmtId="0" fontId="23" fillId="2" borderId="47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horizontal="center" vertical="center" wrapText="1"/>
    </xf>
    <xf numFmtId="0" fontId="23" fillId="0" borderId="33" xfId="0" applyFont="1" applyBorder="1" applyAlignment="1">
      <alignment horizontal="right" vertical="center"/>
    </xf>
    <xf numFmtId="0" fontId="23" fillId="0" borderId="34" xfId="0" applyFont="1" applyBorder="1" applyAlignment="1">
      <alignment horizontal="right" vertical="center"/>
    </xf>
    <xf numFmtId="0" fontId="23" fillId="0" borderId="35" xfId="0" applyFont="1" applyBorder="1" applyAlignment="1">
      <alignment horizontal="right" vertical="center"/>
    </xf>
    <xf numFmtId="0" fontId="27" fillId="2" borderId="38" xfId="0" applyFont="1" applyFill="1" applyBorder="1" applyAlignment="1">
      <alignment horizontal="center" vertical="center"/>
    </xf>
    <xf numFmtId="0" fontId="27" fillId="2" borderId="39" xfId="0" applyFont="1" applyFill="1" applyBorder="1" applyAlignment="1">
      <alignment horizontal="center" vertical="center"/>
    </xf>
    <xf numFmtId="0" fontId="27" fillId="2" borderId="4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59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8" borderId="25" xfId="5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horizontal="center" vertical="center"/>
    </xf>
    <xf numFmtId="0" fontId="23" fillId="8" borderId="27" xfId="5" applyFont="1" applyFill="1" applyBorder="1" applyAlignment="1">
      <alignment horizontal="center" vertical="center"/>
    </xf>
    <xf numFmtId="0" fontId="23" fillId="4" borderId="25" xfId="5" applyFont="1" applyFill="1" applyBorder="1" applyAlignment="1">
      <alignment horizontal="center" vertical="center" wrapText="1"/>
    </xf>
    <xf numFmtId="0" fontId="23" fillId="4" borderId="2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3" fillId="6" borderId="23" xfId="5" applyFont="1" applyFill="1" applyBorder="1" applyAlignment="1">
      <alignment horizontal="center" vertical="center" wrapText="1"/>
    </xf>
    <xf numFmtId="0" fontId="23" fillId="6" borderId="7" xfId="5" applyFont="1" applyFill="1" applyBorder="1" applyAlignment="1">
      <alignment horizontal="center" vertical="center" wrapText="1"/>
    </xf>
    <xf numFmtId="0" fontId="23" fillId="6" borderId="8" xfId="5" applyFont="1" applyFill="1" applyBorder="1" applyAlignment="1">
      <alignment horizontal="center" vertical="center" wrapText="1"/>
    </xf>
    <xf numFmtId="0" fontId="23" fillId="6" borderId="25" xfId="5" applyFont="1" applyFill="1" applyBorder="1" applyAlignment="1">
      <alignment horizontal="center" vertical="center" wrapText="1"/>
    </xf>
    <xf numFmtId="0" fontId="23" fillId="6" borderId="2" xfId="5" applyFont="1" applyFill="1" applyBorder="1" applyAlignment="1">
      <alignment horizontal="center" vertical="center" wrapText="1"/>
    </xf>
    <xf numFmtId="0" fontId="23" fillId="6" borderId="3" xfId="5" applyFont="1" applyFill="1" applyBorder="1" applyAlignment="1">
      <alignment horizontal="center" vertical="center" wrapText="1"/>
    </xf>
    <xf numFmtId="0" fontId="23" fillId="4" borderId="25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4" borderId="27" xfId="5" applyFont="1" applyFill="1" applyBorder="1" applyAlignment="1">
      <alignment horizontal="center" vertical="center"/>
    </xf>
    <xf numFmtId="0" fontId="23" fillId="5" borderId="25" xfId="5" applyFont="1" applyFill="1" applyBorder="1" applyAlignment="1">
      <alignment horizontal="center" vertical="center" wrapText="1"/>
    </xf>
    <xf numFmtId="0" fontId="23" fillId="5" borderId="2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5" borderId="38" xfId="5" applyFont="1" applyFill="1" applyBorder="1" applyAlignment="1">
      <alignment horizontal="center" vertical="center" wrapText="1"/>
    </xf>
    <xf numFmtId="0" fontId="23" fillId="5" borderId="39" xfId="5" applyFont="1" applyFill="1" applyBorder="1" applyAlignment="1">
      <alignment horizontal="center" vertical="center" wrapText="1"/>
    </xf>
    <xf numFmtId="0" fontId="23" fillId="5" borderId="43" xfId="5" applyFont="1" applyFill="1" applyBorder="1" applyAlignment="1">
      <alignment horizontal="center" vertical="center" wrapText="1"/>
    </xf>
    <xf numFmtId="0" fontId="23" fillId="3" borderId="25" xfId="5" applyFont="1" applyFill="1" applyBorder="1" applyAlignment="1">
      <alignment horizontal="center" vertical="center" wrapText="1"/>
    </xf>
    <xf numFmtId="0" fontId="23" fillId="3" borderId="2" xfId="5" applyFont="1" applyFill="1" applyBorder="1" applyAlignment="1">
      <alignment horizontal="center" vertical="center" wrapText="1"/>
    </xf>
    <xf numFmtId="0" fontId="23" fillId="3" borderId="3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2" fillId="0" borderId="2" xfId="5" applyFont="1" applyBorder="1" applyAlignment="1">
      <alignment horizontal="left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0" borderId="25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5" borderId="33" xfId="5" applyFont="1" applyFill="1" applyBorder="1" applyAlignment="1">
      <alignment horizontal="center" vertical="center" wrapText="1"/>
    </xf>
    <xf numFmtId="0" fontId="23" fillId="5" borderId="34" xfId="5" applyFont="1" applyFill="1" applyBorder="1" applyAlignment="1">
      <alignment horizontal="center" vertical="center" wrapText="1"/>
    </xf>
    <xf numFmtId="0" fontId="23" fillId="5" borderId="35" xfId="5" applyFont="1" applyFill="1" applyBorder="1" applyAlignment="1">
      <alignment horizontal="center" vertical="center" wrapText="1"/>
    </xf>
    <xf numFmtId="164" fontId="24" fillId="2" borderId="1" xfId="2" applyNumberFormat="1" applyFont="1" applyFill="1" applyBorder="1" applyAlignment="1">
      <alignment horizontal="justify" vertical="center"/>
    </xf>
    <xf numFmtId="164" fontId="24" fillId="2" borderId="3" xfId="2" applyNumberFormat="1" applyFont="1" applyFill="1" applyBorder="1" applyAlignment="1">
      <alignment horizontal="justify" vertical="center"/>
    </xf>
    <xf numFmtId="164" fontId="23" fillId="2" borderId="1" xfId="2" applyNumberFormat="1" applyFont="1" applyFill="1" applyBorder="1" applyAlignment="1">
      <alignment horizontal="justify" vertical="center"/>
    </xf>
    <xf numFmtId="164" fontId="23" fillId="2" borderId="3" xfId="2" applyNumberFormat="1" applyFont="1" applyFill="1" applyBorder="1" applyAlignment="1">
      <alignment horizontal="justify" vertical="center"/>
    </xf>
    <xf numFmtId="0" fontId="23" fillId="2" borderId="1" xfId="5" applyFont="1" applyFill="1" applyBorder="1" applyAlignment="1">
      <alignment horizontal="left" vertical="center" wrapText="1"/>
    </xf>
    <xf numFmtId="0" fontId="23" fillId="2" borderId="2" xfId="5" applyFont="1" applyFill="1" applyBorder="1" applyAlignment="1">
      <alignment horizontal="left" vertical="center" wrapText="1"/>
    </xf>
    <xf numFmtId="0" fontId="23" fillId="2" borderId="3" xfId="5" applyFont="1" applyFill="1" applyBorder="1" applyAlignment="1">
      <alignment horizontal="left" vertical="center" wrapText="1"/>
    </xf>
    <xf numFmtId="0" fontId="23" fillId="2" borderId="23" xfId="3" applyFont="1" applyFill="1" applyBorder="1" applyAlignment="1">
      <alignment horizontal="center" vertical="center"/>
    </xf>
    <xf numFmtId="0" fontId="23" fillId="2" borderId="7" xfId="3" applyFont="1" applyFill="1" applyBorder="1" applyAlignment="1">
      <alignment horizontal="center" vertical="center"/>
    </xf>
    <xf numFmtId="0" fontId="23" fillId="2" borderId="31" xfId="3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justify" vertical="center"/>
    </xf>
    <xf numFmtId="0" fontId="22" fillId="2" borderId="3" xfId="0" applyFont="1" applyFill="1" applyBorder="1" applyAlignment="1">
      <alignment horizontal="justify" vertical="center"/>
    </xf>
    <xf numFmtId="0" fontId="23" fillId="6" borderId="46" xfId="0" applyFont="1" applyFill="1" applyBorder="1" applyAlignment="1">
      <alignment horizontal="center" vertical="center"/>
    </xf>
    <xf numFmtId="0" fontId="23" fillId="6" borderId="47" xfId="0" applyFont="1" applyFill="1" applyBorder="1" applyAlignment="1">
      <alignment horizontal="center" vertical="center"/>
    </xf>
    <xf numFmtId="0" fontId="23" fillId="6" borderId="48" xfId="0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27" xfId="3" applyFont="1" applyFill="1" applyBorder="1" applyAlignment="1">
      <alignment horizontal="center" vertical="center" wrapText="1"/>
    </xf>
    <xf numFmtId="0" fontId="23" fillId="2" borderId="25" xfId="3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/>
    </xf>
    <xf numFmtId="0" fontId="23" fillId="2" borderId="27" xfId="3" applyFont="1" applyFill="1" applyBorder="1" applyAlignment="1">
      <alignment horizontal="center" vertical="center"/>
    </xf>
    <xf numFmtId="0" fontId="23" fillId="2" borderId="29" xfId="3" applyFont="1" applyFill="1" applyBorder="1" applyAlignment="1">
      <alignment horizontal="center" vertical="center"/>
    </xf>
    <xf numFmtId="0" fontId="23" fillId="2" borderId="6" xfId="3" applyFont="1" applyFill="1" applyBorder="1" applyAlignment="1">
      <alignment horizontal="center" vertical="center"/>
    </xf>
    <xf numFmtId="0" fontId="23" fillId="2" borderId="30" xfId="3" applyFont="1" applyFill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27" xfId="4" applyFont="1" applyFill="1" applyBorder="1" applyAlignment="1">
      <alignment horizontal="center" vertical="center" wrapText="1"/>
    </xf>
    <xf numFmtId="0" fontId="23" fillId="2" borderId="25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center" vertical="center" wrapText="1"/>
    </xf>
    <xf numFmtId="165" fontId="23" fillId="2" borderId="27" xfId="1" applyNumberFormat="1" applyFont="1" applyFill="1" applyBorder="1" applyAlignment="1">
      <alignment horizontal="center" vertical="center" wrapText="1"/>
    </xf>
    <xf numFmtId="0" fontId="23" fillId="4" borderId="20" xfId="3" applyFont="1" applyFill="1" applyBorder="1" applyAlignment="1">
      <alignment horizontal="center" vertical="center" wrapText="1"/>
    </xf>
    <xf numFmtId="0" fontId="23" fillId="4" borderId="41" xfId="3" applyFont="1" applyFill="1" applyBorder="1" applyAlignment="1">
      <alignment horizontal="center" vertical="center" wrapText="1"/>
    </xf>
    <xf numFmtId="0" fontId="23" fillId="4" borderId="19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27" xfId="3" applyFont="1" applyFill="1" applyBorder="1" applyAlignment="1">
      <alignment horizontal="center" vertical="center" wrapText="1"/>
    </xf>
    <xf numFmtId="0" fontId="23" fillId="2" borderId="38" xfId="3" applyFont="1" applyFill="1" applyBorder="1" applyAlignment="1">
      <alignment horizontal="center" vertical="center"/>
    </xf>
    <xf numFmtId="0" fontId="23" fillId="2" borderId="39" xfId="3" applyFont="1" applyFill="1" applyBorder="1" applyAlignment="1">
      <alignment horizontal="center" vertical="center"/>
    </xf>
    <xf numFmtId="0" fontId="23" fillId="2" borderId="40" xfId="3" applyFont="1" applyFill="1" applyBorder="1" applyAlignment="1">
      <alignment horizontal="center" vertical="center"/>
    </xf>
    <xf numFmtId="0" fontId="23" fillId="2" borderId="25" xfId="5" applyFont="1" applyFill="1" applyBorder="1" applyAlignment="1">
      <alignment horizontal="center" vertical="center"/>
    </xf>
    <xf numFmtId="0" fontId="23" fillId="2" borderId="2" xfId="5" applyFont="1" applyFill="1" applyBorder="1" applyAlignment="1">
      <alignment horizontal="center" vertical="center"/>
    </xf>
    <xf numFmtId="0" fontId="23" fillId="2" borderId="27" xfId="5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>
      <alignment horizontal="center" vertical="center"/>
    </xf>
    <xf numFmtId="164" fontId="23" fillId="2" borderId="3" xfId="2" applyNumberFormat="1" applyFont="1" applyFill="1" applyBorder="1" applyAlignment="1">
      <alignment horizontal="center" vertical="center"/>
    </xf>
    <xf numFmtId="0" fontId="29" fillId="2" borderId="25" xfId="5" applyFont="1" applyFill="1" applyBorder="1" applyAlignment="1">
      <alignment horizontal="center" vertical="center" wrapText="1"/>
    </xf>
    <xf numFmtId="0" fontId="29" fillId="2" borderId="2" xfId="5" applyFont="1" applyFill="1" applyBorder="1" applyAlignment="1">
      <alignment horizontal="center" vertical="center" wrapText="1"/>
    </xf>
    <xf numFmtId="0" fontId="29" fillId="2" borderId="27" xfId="5" applyFont="1" applyFill="1" applyBorder="1" applyAlignment="1">
      <alignment horizontal="center" vertical="center" wrapText="1"/>
    </xf>
    <xf numFmtId="0" fontId="23" fillId="0" borderId="1" xfId="5" applyFont="1" applyBorder="1" applyAlignment="1">
      <alignment horizontal="left" vertical="center" wrapText="1"/>
    </xf>
    <xf numFmtId="0" fontId="23" fillId="0" borderId="3" xfId="5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53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5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41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left" vertical="center" wrapText="1"/>
    </xf>
    <xf numFmtId="0" fontId="2" fillId="7" borderId="13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53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2" fillId="7" borderId="56" xfId="0" applyFont="1" applyFill="1" applyBorder="1" applyAlignment="1">
      <alignment horizontal="center" vertical="center"/>
    </xf>
    <xf numFmtId="0" fontId="2" fillId="7" borderId="57" xfId="0" applyFont="1" applyFill="1" applyBorder="1" applyAlignment="1">
      <alignment horizontal="center" vertical="center"/>
    </xf>
    <xf numFmtId="0" fontId="2" fillId="7" borderId="58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5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2" fillId="0" borderId="28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26" xfId="10" applyFont="1" applyBorder="1" applyAlignment="1">
      <alignment horizontal="center" vertical="center" wrapText="1"/>
    </xf>
    <xf numFmtId="0" fontId="22" fillId="0" borderId="49" xfId="10" applyFont="1" applyBorder="1" applyAlignment="1">
      <alignment horizontal="center" vertical="center" wrapText="1"/>
    </xf>
    <xf numFmtId="0" fontId="22" fillId="0" borderId="50" xfId="10" applyFont="1" applyBorder="1" applyAlignment="1">
      <alignment horizontal="center" vertical="center" wrapText="1"/>
    </xf>
    <xf numFmtId="0" fontId="22" fillId="0" borderId="36" xfId="10" applyFont="1" applyBorder="1" applyAlignment="1">
      <alignment horizontal="center" vertical="center" wrapText="1"/>
    </xf>
    <xf numFmtId="0" fontId="33" fillId="5" borderId="13" xfId="7" applyFont="1" applyFill="1" applyBorder="1" applyAlignment="1">
      <alignment horizontal="center" vertical="center"/>
    </xf>
    <xf numFmtId="0" fontId="33" fillId="5" borderId="11" xfId="7" applyFont="1" applyFill="1" applyBorder="1" applyAlignment="1">
      <alignment horizontal="center" vertical="center"/>
    </xf>
    <xf numFmtId="0" fontId="33" fillId="5" borderId="60" xfId="7" applyFont="1" applyFill="1" applyBorder="1" applyAlignment="1">
      <alignment horizontal="center" vertical="center"/>
    </xf>
    <xf numFmtId="0" fontId="33" fillId="0" borderId="10" xfId="10" applyFont="1" applyBorder="1" applyAlignment="1">
      <alignment horizontal="center" vertical="top"/>
    </xf>
    <xf numFmtId="0" fontId="33" fillId="0" borderId="44" xfId="10" applyFont="1" applyBorder="1" applyAlignment="1">
      <alignment horizontal="center" vertical="top"/>
    </xf>
    <xf numFmtId="0" fontId="33" fillId="0" borderId="12" xfId="10" applyFont="1" applyBorder="1" applyAlignment="1">
      <alignment horizontal="center" vertical="top"/>
    </xf>
    <xf numFmtId="0" fontId="22" fillId="2" borderId="28" xfId="11" applyFont="1" applyFill="1" applyBorder="1" applyAlignment="1">
      <alignment horizontal="center" vertical="center" wrapText="1"/>
    </xf>
    <xf numFmtId="0" fontId="22" fillId="2" borderId="4" xfId="11" applyFont="1" applyFill="1" applyBorder="1" applyAlignment="1">
      <alignment horizontal="center" vertical="center" wrapText="1"/>
    </xf>
    <xf numFmtId="0" fontId="22" fillId="2" borderId="26" xfId="11" applyFont="1" applyFill="1" applyBorder="1" applyAlignment="1">
      <alignment horizontal="center" vertical="center" wrapText="1"/>
    </xf>
    <xf numFmtId="0" fontId="22" fillId="0" borderId="46" xfId="10" applyFont="1" applyBorder="1" applyAlignment="1">
      <alignment horizontal="center" vertical="center" wrapText="1"/>
    </xf>
    <xf numFmtId="0" fontId="22" fillId="0" borderId="47" xfId="10" applyFont="1" applyBorder="1" applyAlignment="1">
      <alignment horizontal="center" vertical="center" wrapText="1"/>
    </xf>
    <xf numFmtId="0" fontId="22" fillId="0" borderId="48" xfId="10" applyFont="1" applyBorder="1" applyAlignment="1">
      <alignment horizontal="center" vertical="center" wrapText="1"/>
    </xf>
    <xf numFmtId="0" fontId="22" fillId="2" borderId="28" xfId="11" applyFont="1" applyFill="1" applyBorder="1" applyAlignment="1">
      <alignment horizontal="center" vertical="top" wrapText="1"/>
    </xf>
    <xf numFmtId="0" fontId="22" fillId="2" borderId="4" xfId="11" applyFont="1" applyFill="1" applyBorder="1" applyAlignment="1">
      <alignment horizontal="center" vertical="top" wrapText="1"/>
    </xf>
    <xf numFmtId="0" fontId="22" fillId="2" borderId="26" xfId="11" applyFont="1" applyFill="1" applyBorder="1" applyAlignment="1">
      <alignment horizontal="center" vertical="top" wrapText="1"/>
    </xf>
    <xf numFmtId="0" fontId="23" fillId="7" borderId="10" xfId="7" applyFont="1" applyFill="1" applyBorder="1" applyAlignment="1">
      <alignment horizontal="center" vertical="center"/>
    </xf>
    <xf numFmtId="0" fontId="23" fillId="7" borderId="44" xfId="7" applyFont="1" applyFill="1" applyBorder="1" applyAlignment="1">
      <alignment horizontal="center" vertical="center"/>
    </xf>
    <xf numFmtId="0" fontId="23" fillId="7" borderId="12" xfId="7" applyFont="1" applyFill="1" applyBorder="1" applyAlignment="1">
      <alignment horizontal="center" vertical="center"/>
    </xf>
    <xf numFmtId="0" fontId="33" fillId="5" borderId="61" xfId="7" applyFont="1" applyFill="1" applyBorder="1" applyAlignment="1">
      <alignment horizontal="center" vertical="center"/>
    </xf>
    <xf numFmtId="0" fontId="33" fillId="5" borderId="62" xfId="7" applyFont="1" applyFill="1" applyBorder="1" applyAlignment="1">
      <alignment horizontal="center" vertical="center"/>
    </xf>
    <xf numFmtId="0" fontId="33" fillId="5" borderId="63" xfId="7" applyFont="1" applyFill="1" applyBorder="1" applyAlignment="1">
      <alignment horizontal="center" vertical="center"/>
    </xf>
    <xf numFmtId="0" fontId="23" fillId="5" borderId="22" xfId="7" applyFont="1" applyFill="1" applyBorder="1" applyAlignment="1">
      <alignment horizontal="center" vertical="center"/>
    </xf>
    <xf numFmtId="0" fontId="23" fillId="5" borderId="53" xfId="7" applyFont="1" applyFill="1" applyBorder="1" applyAlignment="1">
      <alignment horizontal="center" vertical="center"/>
    </xf>
    <xf numFmtId="0" fontId="23" fillId="5" borderId="21" xfId="7" applyFont="1" applyFill="1" applyBorder="1" applyAlignment="1">
      <alignment horizontal="center" vertical="center"/>
    </xf>
    <xf numFmtId="0" fontId="33" fillId="2" borderId="13" xfId="7" applyFont="1" applyFill="1" applyBorder="1" applyAlignment="1">
      <alignment horizontal="center" vertical="center"/>
    </xf>
    <xf numFmtId="0" fontId="33" fillId="2" borderId="11" xfId="7" applyFont="1" applyFill="1" applyBorder="1" applyAlignment="1">
      <alignment horizontal="center" vertical="center"/>
    </xf>
    <xf numFmtId="0" fontId="33" fillId="2" borderId="14" xfId="7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 wrapText="1"/>
    </xf>
    <xf numFmtId="0" fontId="23" fillId="5" borderId="11" xfId="0" applyFont="1" applyFill="1" applyBorder="1" applyAlignment="1">
      <alignment horizontal="center" vertical="center" wrapText="1"/>
    </xf>
    <xf numFmtId="0" fontId="23" fillId="5" borderId="14" xfId="0" applyFont="1" applyFill="1" applyBorder="1" applyAlignment="1">
      <alignment horizontal="center" vertical="center" wrapText="1"/>
    </xf>
    <xf numFmtId="0" fontId="23" fillId="5" borderId="49" xfId="7" applyFont="1" applyFill="1" applyBorder="1" applyAlignment="1">
      <alignment horizontal="center" vertical="center"/>
    </xf>
    <xf numFmtId="0" fontId="23" fillId="5" borderId="50" xfId="7" applyFont="1" applyFill="1" applyBorder="1" applyAlignment="1">
      <alignment horizontal="center" vertical="center"/>
    </xf>
    <xf numFmtId="0" fontId="23" fillId="5" borderId="52" xfId="7" applyFont="1" applyFill="1" applyBorder="1" applyAlignment="1">
      <alignment horizontal="center" vertical="center"/>
    </xf>
    <xf numFmtId="0" fontId="23" fillId="7" borderId="10" xfId="7" applyFont="1" applyFill="1" applyBorder="1" applyAlignment="1">
      <alignment horizontal="center" vertical="center" wrapText="1"/>
    </xf>
    <xf numFmtId="0" fontId="23" fillId="7" borderId="44" xfId="7" applyFont="1" applyFill="1" applyBorder="1" applyAlignment="1">
      <alignment horizontal="center" vertical="center" wrapText="1"/>
    </xf>
    <xf numFmtId="0" fontId="23" fillId="7" borderId="12" xfId="7" applyFont="1" applyFill="1" applyBorder="1" applyAlignment="1">
      <alignment horizontal="center" vertical="center" wrapText="1"/>
    </xf>
    <xf numFmtId="0" fontId="23" fillId="5" borderId="20" xfId="7" applyFont="1" applyFill="1" applyBorder="1" applyAlignment="1">
      <alignment horizontal="center" vertical="center"/>
    </xf>
    <xf numFmtId="0" fontId="23" fillId="5" borderId="41" xfId="7" applyFont="1" applyFill="1" applyBorder="1" applyAlignment="1">
      <alignment horizontal="center" vertical="center"/>
    </xf>
    <xf numFmtId="0" fontId="23" fillId="5" borderId="37" xfId="0" applyFont="1" applyFill="1" applyBorder="1" applyAlignment="1">
      <alignment horizontal="center" vertical="center" wrapText="1"/>
    </xf>
    <xf numFmtId="0" fontId="23" fillId="5" borderId="0" xfId="0" applyFont="1" applyFill="1" applyBorder="1" applyAlignment="1">
      <alignment horizontal="center" vertical="center" wrapText="1"/>
    </xf>
    <xf numFmtId="0" fontId="23" fillId="5" borderId="45" xfId="0" applyFont="1" applyFill="1" applyBorder="1" applyAlignment="1">
      <alignment horizontal="center" vertical="center" wrapText="1"/>
    </xf>
  </cellXfs>
  <cellStyles count="13">
    <cellStyle name="Hiperlink" xfId="6" builtinId="8"/>
    <cellStyle name="Moeda" xfId="1" builtinId="4"/>
    <cellStyle name="Moeda 2" xfId="8"/>
    <cellStyle name="Normal" xfId="0" builtinId="0"/>
    <cellStyle name="Normal 2" xfId="5"/>
    <cellStyle name="Normal 3" xfId="7"/>
    <cellStyle name="Normal 4" xfId="3"/>
    <cellStyle name="Normal 5" xfId="4"/>
    <cellStyle name="Normal 6" xfId="10"/>
    <cellStyle name="Normal 6 2" xfId="11"/>
    <cellStyle name="Porcentagem" xfId="2" builtinId="5"/>
    <cellStyle name="Vírgula" xfId="12" builtinId="3"/>
    <cellStyle name="Vírgula 2" xfId="9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49</v>
      </c>
    </row>
    <row r="2" spans="1:5" ht="21" x14ac:dyDescent="0.35">
      <c r="A2" s="303" t="s">
        <v>50</v>
      </c>
      <c r="B2" s="303"/>
      <c r="C2" s="303"/>
      <c r="E2" s="2" t="s">
        <v>51</v>
      </c>
    </row>
    <row r="3" spans="1:5" ht="174" customHeight="1" x14ac:dyDescent="0.3">
      <c r="A3" s="302" t="s">
        <v>52</v>
      </c>
      <c r="B3" s="302"/>
      <c r="C3" s="302"/>
      <c r="E3" s="4" t="s">
        <v>53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04" t="s">
        <v>54</v>
      </c>
      <c r="B5" s="305"/>
      <c r="C5" s="306"/>
      <c r="E5" s="7" t="s">
        <v>55</v>
      </c>
    </row>
    <row r="6" spans="1:5" ht="22.5" x14ac:dyDescent="0.25">
      <c r="A6" s="307" t="s">
        <v>56</v>
      </c>
      <c r="B6" s="307" t="s">
        <v>57</v>
      </c>
      <c r="C6" s="8" t="s">
        <v>58</v>
      </c>
      <c r="E6" s="7" t="s">
        <v>59</v>
      </c>
    </row>
    <row r="7" spans="1:5" ht="15.75" customHeight="1" thickBot="1" x14ac:dyDescent="0.3">
      <c r="A7" s="308"/>
      <c r="B7" s="308"/>
      <c r="C7" s="9" t="s">
        <v>60</v>
      </c>
      <c r="E7" s="7" t="s">
        <v>61</v>
      </c>
    </row>
    <row r="8" spans="1:5" ht="15.75" thickBot="1" x14ac:dyDescent="0.3">
      <c r="A8" s="10" t="s">
        <v>62</v>
      </c>
      <c r="B8" s="8">
        <v>30</v>
      </c>
      <c r="C8" s="8">
        <v>7</v>
      </c>
      <c r="D8">
        <f>(7/30)/12</f>
        <v>1.94444444444444E-2</v>
      </c>
      <c r="E8" s="11" t="s">
        <v>63</v>
      </c>
    </row>
    <row r="9" spans="1:5" ht="13.5" customHeight="1" x14ac:dyDescent="0.25">
      <c r="A9" s="12" t="s">
        <v>64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65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66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67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68</v>
      </c>
      <c r="B13" s="13">
        <v>45</v>
      </c>
      <c r="C13" s="13">
        <v>11</v>
      </c>
      <c r="D13">
        <f t="shared" si="0"/>
        <v>8.3333333333333297E-3</v>
      </c>
      <c r="E13" t="s">
        <v>90</v>
      </c>
    </row>
    <row r="14" spans="1:5" x14ac:dyDescent="0.25">
      <c r="A14" s="12" t="s">
        <v>69</v>
      </c>
      <c r="B14" s="13">
        <v>48</v>
      </c>
      <c r="C14" s="13">
        <v>11</v>
      </c>
      <c r="E14" t="s">
        <v>48</v>
      </c>
    </row>
    <row r="15" spans="1:5" x14ac:dyDescent="0.25">
      <c r="A15" s="12" t="s">
        <v>70</v>
      </c>
      <c r="B15" s="13">
        <v>51</v>
      </c>
      <c r="C15" s="13">
        <v>12</v>
      </c>
    </row>
    <row r="16" spans="1:5" x14ac:dyDescent="0.25">
      <c r="A16" s="12" t="s">
        <v>71</v>
      </c>
      <c r="B16" s="13">
        <v>54</v>
      </c>
      <c r="C16" s="13">
        <v>13</v>
      </c>
    </row>
    <row r="17" spans="1:5" x14ac:dyDescent="0.25">
      <c r="A17" s="12" t="s">
        <v>72</v>
      </c>
      <c r="B17" s="13">
        <v>57</v>
      </c>
      <c r="C17" s="13">
        <v>13</v>
      </c>
    </row>
    <row r="18" spans="1:5" x14ac:dyDescent="0.25">
      <c r="A18" s="12" t="s">
        <v>73</v>
      </c>
      <c r="B18" s="13">
        <v>60</v>
      </c>
      <c r="C18" s="13">
        <v>14</v>
      </c>
    </row>
    <row r="19" spans="1:5" x14ac:dyDescent="0.25">
      <c r="A19" s="12" t="s">
        <v>74</v>
      </c>
      <c r="B19" s="13">
        <v>63</v>
      </c>
      <c r="C19" s="13">
        <v>15</v>
      </c>
    </row>
    <row r="20" spans="1:5" x14ac:dyDescent="0.25">
      <c r="A20" s="12" t="s">
        <v>75</v>
      </c>
      <c r="B20" s="13">
        <v>66</v>
      </c>
      <c r="C20" s="13">
        <v>15</v>
      </c>
    </row>
    <row r="21" spans="1:5" x14ac:dyDescent="0.25">
      <c r="A21" s="12" t="s">
        <v>76</v>
      </c>
      <c r="B21" s="13">
        <v>69</v>
      </c>
      <c r="C21" s="13">
        <v>16</v>
      </c>
    </row>
    <row r="22" spans="1:5" x14ac:dyDescent="0.25">
      <c r="A22" s="12" t="s">
        <v>77</v>
      </c>
      <c r="B22" s="13">
        <v>72</v>
      </c>
      <c r="C22" s="13">
        <v>17</v>
      </c>
    </row>
    <row r="23" spans="1:5" x14ac:dyDescent="0.25">
      <c r="A23" s="12" t="s">
        <v>78</v>
      </c>
      <c r="B23" s="13">
        <v>75</v>
      </c>
      <c r="C23" s="13">
        <v>18</v>
      </c>
    </row>
    <row r="24" spans="1:5" x14ac:dyDescent="0.25">
      <c r="A24" s="12" t="s">
        <v>79</v>
      </c>
      <c r="B24" s="13">
        <v>78</v>
      </c>
      <c r="C24" s="13">
        <v>18</v>
      </c>
    </row>
    <row r="25" spans="1:5" x14ac:dyDescent="0.25">
      <c r="A25" s="12" t="s">
        <v>80</v>
      </c>
      <c r="B25" s="13">
        <v>81</v>
      </c>
      <c r="C25" s="13">
        <v>19</v>
      </c>
    </row>
    <row r="26" spans="1:5" x14ac:dyDescent="0.25">
      <c r="A26" s="12" t="s">
        <v>81</v>
      </c>
      <c r="B26" s="13">
        <v>84</v>
      </c>
      <c r="C26" s="13">
        <v>20</v>
      </c>
    </row>
    <row r="27" spans="1:5" x14ac:dyDescent="0.25">
      <c r="A27" s="12" t="s">
        <v>82</v>
      </c>
      <c r="B27" s="13">
        <v>87</v>
      </c>
      <c r="C27" s="13">
        <v>20</v>
      </c>
    </row>
    <row r="28" spans="1:5" ht="15.75" thickBot="1" x14ac:dyDescent="0.3">
      <c r="A28" s="16" t="s">
        <v>83</v>
      </c>
      <c r="B28" s="9">
        <v>90</v>
      </c>
      <c r="C28" s="9">
        <v>21</v>
      </c>
      <c r="E28" s="17" t="s">
        <v>84</v>
      </c>
    </row>
    <row r="29" spans="1:5" ht="18.75" x14ac:dyDescent="0.3">
      <c r="A29" s="5"/>
    </row>
    <row r="30" spans="1:5" ht="145.5" customHeight="1" x14ac:dyDescent="0.3">
      <c r="A30" s="309" t="s">
        <v>85</v>
      </c>
      <c r="B30" s="309"/>
      <c r="C30" s="309"/>
    </row>
    <row r="31" spans="1:5" ht="18.75" x14ac:dyDescent="0.3">
      <c r="A31" s="5"/>
    </row>
    <row r="32" spans="1:5" ht="18.75" x14ac:dyDescent="0.3">
      <c r="A32" s="18" t="s">
        <v>86</v>
      </c>
    </row>
    <row r="33" spans="1:3" ht="18.75" x14ac:dyDescent="0.3">
      <c r="A33" s="5"/>
    </row>
    <row r="34" spans="1:3" x14ac:dyDescent="0.25">
      <c r="A34" s="302" t="s">
        <v>87</v>
      </c>
      <c r="B34" s="302"/>
      <c r="C34" s="302"/>
    </row>
    <row r="35" spans="1:3" x14ac:dyDescent="0.25">
      <c r="A35" s="302"/>
      <c r="B35" s="302"/>
      <c r="C35" s="302"/>
    </row>
    <row r="36" spans="1:3" x14ac:dyDescent="0.25">
      <c r="A36" s="302" t="s">
        <v>88</v>
      </c>
      <c r="B36" s="302"/>
      <c r="C36" s="302"/>
    </row>
    <row r="37" spans="1:3" x14ac:dyDescent="0.25">
      <c r="A37" s="302"/>
      <c r="B37" s="302"/>
      <c r="C37" s="302"/>
    </row>
    <row r="40" spans="1:3" x14ac:dyDescent="0.25">
      <c r="A40" s="19" t="s">
        <v>89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10" t="s">
        <v>91</v>
      </c>
      <c r="B1" s="310"/>
    </row>
    <row r="2" spans="1:2" ht="19.5" thickBot="1" x14ac:dyDescent="0.35">
      <c r="A2" s="21" t="s">
        <v>92</v>
      </c>
      <c r="B2" s="21" t="s">
        <v>93</v>
      </c>
    </row>
    <row r="3" spans="1:2" ht="19.5" thickBot="1" x14ac:dyDescent="0.35">
      <c r="A3" s="22" t="s">
        <v>94</v>
      </c>
      <c r="B3" s="23" t="s">
        <v>95</v>
      </c>
    </row>
    <row r="4" spans="1:2" ht="57" thickBot="1" x14ac:dyDescent="0.35">
      <c r="A4" s="24" t="s">
        <v>96</v>
      </c>
      <c r="B4" s="25" t="s">
        <v>97</v>
      </c>
    </row>
    <row r="5" spans="1:2" ht="19.5" thickBot="1" x14ac:dyDescent="0.35">
      <c r="A5" s="24" t="s">
        <v>98</v>
      </c>
      <c r="B5" s="25" t="s">
        <v>99</v>
      </c>
    </row>
    <row r="6" spans="1:2" ht="94.5" thickBot="1" x14ac:dyDescent="0.35">
      <c r="A6" s="24" t="s">
        <v>100</v>
      </c>
      <c r="B6" s="25" t="s">
        <v>101</v>
      </c>
    </row>
    <row r="7" spans="1:2" ht="38.25" thickBot="1" x14ac:dyDescent="0.35">
      <c r="A7" s="24" t="s">
        <v>102</v>
      </c>
      <c r="B7" s="25" t="s">
        <v>103</v>
      </c>
    </row>
    <row r="8" spans="1:2" ht="19.5" thickBot="1" x14ac:dyDescent="0.35">
      <c r="A8" s="24" t="s">
        <v>104</v>
      </c>
      <c r="B8" s="25" t="s">
        <v>105</v>
      </c>
    </row>
    <row r="9" spans="1:2" ht="38.25" thickBot="1" x14ac:dyDescent="0.35">
      <c r="A9" s="24" t="s">
        <v>106</v>
      </c>
      <c r="B9" s="25" t="s">
        <v>107</v>
      </c>
    </row>
    <row r="10" spans="1:2" ht="57" thickBot="1" x14ac:dyDescent="0.35">
      <c r="A10" s="24" t="s">
        <v>108</v>
      </c>
      <c r="B10" s="25" t="s">
        <v>109</v>
      </c>
    </row>
    <row r="11" spans="1:2" ht="75.75" thickBot="1" x14ac:dyDescent="0.35">
      <c r="A11" s="24" t="s">
        <v>110</v>
      </c>
      <c r="B11" s="25" t="s">
        <v>111</v>
      </c>
    </row>
    <row r="12" spans="1:2" ht="57" thickBot="1" x14ac:dyDescent="0.35">
      <c r="A12" s="24" t="s">
        <v>108</v>
      </c>
      <c r="B12" s="25" t="s">
        <v>112</v>
      </c>
    </row>
    <row r="13" spans="1:2" ht="38.25" thickBot="1" x14ac:dyDescent="0.35">
      <c r="A13" s="24" t="s">
        <v>108</v>
      </c>
      <c r="B13" s="25" t="s">
        <v>113</v>
      </c>
    </row>
    <row r="14" spans="1:2" ht="57" thickBot="1" x14ac:dyDescent="0.35">
      <c r="A14" s="24" t="s">
        <v>108</v>
      </c>
      <c r="B14" s="25" t="s">
        <v>114</v>
      </c>
    </row>
    <row r="15" spans="1:2" ht="19.5" thickBot="1" x14ac:dyDescent="0.35">
      <c r="A15" s="24" t="s">
        <v>108</v>
      </c>
      <c r="B15" s="25" t="s">
        <v>115</v>
      </c>
    </row>
    <row r="16" spans="1:2" ht="38.25" thickBot="1" x14ac:dyDescent="0.35">
      <c r="A16" s="24" t="s">
        <v>116</v>
      </c>
      <c r="B16" s="25" t="s">
        <v>117</v>
      </c>
    </row>
    <row r="17" spans="1:2" ht="38.25" thickBot="1" x14ac:dyDescent="0.35">
      <c r="A17" s="24" t="s">
        <v>118</v>
      </c>
      <c r="B17" s="25" t="s">
        <v>119</v>
      </c>
    </row>
    <row r="18" spans="1:2" ht="38.25" thickBot="1" x14ac:dyDescent="0.35">
      <c r="A18" s="24" t="s">
        <v>108</v>
      </c>
      <c r="B18" s="25" t="s">
        <v>120</v>
      </c>
    </row>
    <row r="19" spans="1:2" ht="57" thickBot="1" x14ac:dyDescent="0.35">
      <c r="A19" s="24" t="s">
        <v>108</v>
      </c>
      <c r="B19" s="25" t="s">
        <v>121</v>
      </c>
    </row>
    <row r="20" spans="1:2" ht="38.25" thickBot="1" x14ac:dyDescent="0.35">
      <c r="A20" s="24" t="s">
        <v>108</v>
      </c>
      <c r="B20" s="25" t="s">
        <v>122</v>
      </c>
    </row>
    <row r="21" spans="1:2" ht="57" thickBot="1" x14ac:dyDescent="0.35">
      <c r="A21" s="24" t="s">
        <v>108</v>
      </c>
      <c r="B21" s="25" t="s">
        <v>123</v>
      </c>
    </row>
    <row r="22" spans="1:2" x14ac:dyDescent="0.3">
      <c r="A22" s="26" t="s">
        <v>108</v>
      </c>
      <c r="B22" s="27" t="s">
        <v>124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view="pageBreakPreview" zoomScaleNormal="100" zoomScaleSheetLayoutView="100" workbookViewId="0">
      <selection activeCell="B11" sqref="B11"/>
    </sheetView>
  </sheetViews>
  <sheetFormatPr defaultRowHeight="12.75" x14ac:dyDescent="0.25"/>
  <cols>
    <col min="1" max="1" width="5.7109375" style="138" customWidth="1"/>
    <col min="2" max="2" width="80.7109375" style="138" customWidth="1"/>
    <col min="3" max="8" width="15.7109375" style="138" customWidth="1"/>
    <col min="9" max="16384" width="9.140625" style="138"/>
  </cols>
  <sheetData>
    <row r="1" spans="1:8" ht="15" customHeight="1" thickBot="1" x14ac:dyDescent="0.3">
      <c r="A1" s="311" t="s">
        <v>260</v>
      </c>
      <c r="B1" s="312"/>
      <c r="C1" s="312"/>
      <c r="D1" s="312"/>
      <c r="E1" s="312"/>
      <c r="F1" s="312"/>
      <c r="G1" s="312"/>
      <c r="H1" s="313"/>
    </row>
    <row r="2" spans="1:8" ht="15" customHeight="1" thickBot="1" x14ac:dyDescent="0.3">
      <c r="A2" s="314" t="s">
        <v>261</v>
      </c>
      <c r="B2" s="315"/>
      <c r="C2" s="315"/>
      <c r="D2" s="315"/>
      <c r="E2" s="315"/>
      <c r="F2" s="315"/>
      <c r="G2" s="315"/>
      <c r="H2" s="316"/>
    </row>
    <row r="3" spans="1:8" ht="30" customHeight="1" thickBot="1" x14ac:dyDescent="0.3">
      <c r="A3" s="195" t="s">
        <v>135</v>
      </c>
      <c r="B3" s="195" t="s">
        <v>134</v>
      </c>
      <c r="C3" s="195" t="s">
        <v>177</v>
      </c>
      <c r="D3" s="195" t="s">
        <v>229</v>
      </c>
      <c r="E3" s="195" t="s">
        <v>230</v>
      </c>
      <c r="F3" s="195" t="s">
        <v>290</v>
      </c>
      <c r="G3" s="196" t="s">
        <v>231</v>
      </c>
      <c r="H3" s="195" t="s">
        <v>232</v>
      </c>
    </row>
    <row r="4" spans="1:8" ht="15" customHeight="1" thickBot="1" x14ac:dyDescent="0.3">
      <c r="A4" s="201">
        <v>1</v>
      </c>
      <c r="B4" s="250" t="s">
        <v>140</v>
      </c>
      <c r="C4" s="199"/>
      <c r="D4" s="199"/>
      <c r="E4" s="199"/>
      <c r="F4" s="199"/>
      <c r="G4" s="199"/>
      <c r="H4" s="200"/>
    </row>
    <row r="5" spans="1:8" ht="15" customHeight="1" thickBot="1" x14ac:dyDescent="0.3">
      <c r="A5" s="202" t="s">
        <v>136</v>
      </c>
      <c r="B5" s="250" t="s">
        <v>233</v>
      </c>
      <c r="C5" s="199"/>
      <c r="D5" s="199"/>
      <c r="E5" s="199"/>
      <c r="F5" s="199"/>
      <c r="G5" s="199"/>
      <c r="H5" s="200"/>
    </row>
    <row r="6" spans="1:8" ht="15" customHeight="1" thickBot="1" x14ac:dyDescent="0.3">
      <c r="A6" s="203" t="s">
        <v>234</v>
      </c>
      <c r="B6" s="251" t="s">
        <v>235</v>
      </c>
      <c r="C6" s="139">
        <v>800</v>
      </c>
      <c r="D6" s="139" t="s">
        <v>289</v>
      </c>
      <c r="E6" s="140">
        <v>31.75</v>
      </c>
      <c r="F6" s="159">
        <f>'M2'!E7</f>
        <v>10.18</v>
      </c>
      <c r="G6" s="111">
        <f>F6*E6</f>
        <v>323.22000000000003</v>
      </c>
      <c r="H6" s="111">
        <f>G6*12</f>
        <v>3878.64</v>
      </c>
    </row>
    <row r="7" spans="1:8" ht="15" customHeight="1" thickBot="1" x14ac:dyDescent="0.3">
      <c r="A7" s="204" t="s">
        <v>236</v>
      </c>
      <c r="B7" s="252" t="s">
        <v>237</v>
      </c>
      <c r="C7" s="149"/>
      <c r="D7" s="149"/>
      <c r="E7" s="210"/>
      <c r="F7" s="149"/>
      <c r="G7" s="149"/>
      <c r="H7" s="150"/>
    </row>
    <row r="8" spans="1:8" ht="15" customHeight="1" x14ac:dyDescent="0.25">
      <c r="A8" s="203" t="s">
        <v>238</v>
      </c>
      <c r="B8" s="251" t="s">
        <v>239</v>
      </c>
      <c r="C8" s="141">
        <v>350</v>
      </c>
      <c r="D8" s="141" t="s">
        <v>289</v>
      </c>
      <c r="E8" s="142">
        <v>235.34</v>
      </c>
      <c r="F8" s="110">
        <f>'M2'!E12</f>
        <v>25.39</v>
      </c>
      <c r="G8" s="111">
        <f t="shared" ref="G8:G15" si="0">F8*E8</f>
        <v>5975.28</v>
      </c>
      <c r="H8" s="111">
        <f t="shared" ref="H8:H15" si="1">G8*12</f>
        <v>71703.360000000001</v>
      </c>
    </row>
    <row r="9" spans="1:8" ht="15" customHeight="1" x14ac:dyDescent="0.25">
      <c r="A9" s="203" t="s">
        <v>240</v>
      </c>
      <c r="B9" s="251" t="s">
        <v>241</v>
      </c>
      <c r="C9" s="143">
        <v>700</v>
      </c>
      <c r="D9" s="143" t="s">
        <v>289</v>
      </c>
      <c r="E9" s="144">
        <v>235.34</v>
      </c>
      <c r="F9" s="158">
        <f>'M2'!E17</f>
        <v>12.69</v>
      </c>
      <c r="G9" s="111">
        <f t="shared" si="0"/>
        <v>2986.46</v>
      </c>
      <c r="H9" s="111">
        <f t="shared" si="1"/>
        <v>35837.519999999997</v>
      </c>
    </row>
    <row r="10" spans="1:8" ht="15" customHeight="1" x14ac:dyDescent="0.25">
      <c r="A10" s="203" t="s">
        <v>242</v>
      </c>
      <c r="B10" s="253" t="s">
        <v>243</v>
      </c>
      <c r="C10" s="143">
        <v>450</v>
      </c>
      <c r="D10" s="143" t="s">
        <v>289</v>
      </c>
      <c r="E10" s="144">
        <v>70.62</v>
      </c>
      <c r="F10" s="158">
        <f>'M2'!E22</f>
        <v>18.100000000000001</v>
      </c>
      <c r="G10" s="111">
        <f t="shared" si="0"/>
        <v>1278.22</v>
      </c>
      <c r="H10" s="111">
        <f t="shared" si="1"/>
        <v>15338.64</v>
      </c>
    </row>
    <row r="11" spans="1:8" ht="15" customHeight="1" x14ac:dyDescent="0.25">
      <c r="A11" s="203" t="s">
        <v>244</v>
      </c>
      <c r="B11" s="251" t="s">
        <v>245</v>
      </c>
      <c r="C11" s="143">
        <v>900</v>
      </c>
      <c r="D11" s="143" t="s">
        <v>289</v>
      </c>
      <c r="E11" s="144">
        <v>70.62</v>
      </c>
      <c r="F11" s="158">
        <f>'M2'!E27</f>
        <v>9.8699999999999992</v>
      </c>
      <c r="G11" s="111">
        <f t="shared" si="0"/>
        <v>697.02</v>
      </c>
      <c r="H11" s="111">
        <f t="shared" si="1"/>
        <v>8364.24</v>
      </c>
    </row>
    <row r="12" spans="1:8" ht="15" customHeight="1" x14ac:dyDescent="0.25">
      <c r="A12" s="203" t="s">
        <v>246</v>
      </c>
      <c r="B12" s="251" t="s">
        <v>247</v>
      </c>
      <c r="C12" s="143">
        <v>650</v>
      </c>
      <c r="D12" s="143" t="s">
        <v>289</v>
      </c>
      <c r="E12" s="144">
        <v>78.400000000000006</v>
      </c>
      <c r="F12" s="158">
        <f>'M2'!K7</f>
        <v>12.53</v>
      </c>
      <c r="G12" s="111">
        <f t="shared" si="0"/>
        <v>982.35</v>
      </c>
      <c r="H12" s="111">
        <f t="shared" si="1"/>
        <v>11788.2</v>
      </c>
    </row>
    <row r="13" spans="1:8" ht="15" customHeight="1" x14ac:dyDescent="0.25">
      <c r="A13" s="203" t="s">
        <v>248</v>
      </c>
      <c r="B13" s="251" t="s">
        <v>249</v>
      </c>
      <c r="C13" s="143">
        <v>1300</v>
      </c>
      <c r="D13" s="143" t="s">
        <v>289</v>
      </c>
      <c r="E13" s="144">
        <v>78.400000000000006</v>
      </c>
      <c r="F13" s="158">
        <f>'M2'!K12</f>
        <v>6.84</v>
      </c>
      <c r="G13" s="111">
        <f t="shared" si="0"/>
        <v>536.26</v>
      </c>
      <c r="H13" s="111">
        <f t="shared" si="1"/>
        <v>6435.12</v>
      </c>
    </row>
    <row r="14" spans="1:8" ht="15" customHeight="1" x14ac:dyDescent="0.25">
      <c r="A14" s="203" t="s">
        <v>250</v>
      </c>
      <c r="B14" s="251" t="s">
        <v>251</v>
      </c>
      <c r="C14" s="143">
        <v>550</v>
      </c>
      <c r="D14" s="143" t="s">
        <v>289</v>
      </c>
      <c r="E14" s="144">
        <v>41.89</v>
      </c>
      <c r="F14" s="158">
        <f>'M2'!K17</f>
        <v>14.81</v>
      </c>
      <c r="G14" s="111">
        <f t="shared" si="0"/>
        <v>620.39</v>
      </c>
      <c r="H14" s="111">
        <f t="shared" si="1"/>
        <v>7444.68</v>
      </c>
    </row>
    <row r="15" spans="1:8" ht="15" customHeight="1" thickBot="1" x14ac:dyDescent="0.3">
      <c r="A15" s="203" t="s">
        <v>252</v>
      </c>
      <c r="B15" s="251" t="s">
        <v>253</v>
      </c>
      <c r="C15" s="211">
        <v>800</v>
      </c>
      <c r="D15" s="143" t="s">
        <v>289</v>
      </c>
      <c r="E15" s="145">
        <v>21.42</v>
      </c>
      <c r="F15" s="163">
        <f>'M2'!K22</f>
        <v>10.18</v>
      </c>
      <c r="G15" s="111">
        <f t="shared" si="0"/>
        <v>218.06</v>
      </c>
      <c r="H15" s="111">
        <f t="shared" si="1"/>
        <v>2616.7199999999998</v>
      </c>
    </row>
    <row r="16" spans="1:8" ht="15" customHeight="1" thickBot="1" x14ac:dyDescent="0.3">
      <c r="A16" s="205">
        <v>2</v>
      </c>
      <c r="B16" s="252" t="s">
        <v>133</v>
      </c>
      <c r="C16" s="149"/>
      <c r="D16" s="149"/>
      <c r="E16" s="210"/>
      <c r="F16" s="149"/>
      <c r="G16" s="149"/>
      <c r="H16" s="150"/>
    </row>
    <row r="17" spans="1:8" ht="15" customHeight="1" x14ac:dyDescent="0.25">
      <c r="A17" s="203" t="s">
        <v>137</v>
      </c>
      <c r="B17" s="251" t="s">
        <v>254</v>
      </c>
      <c r="C17" s="141">
        <v>2700</v>
      </c>
      <c r="D17" s="143" t="s">
        <v>289</v>
      </c>
      <c r="E17" s="142">
        <v>8.58</v>
      </c>
      <c r="F17" s="160">
        <f>'M2'!E32</f>
        <v>3.02</v>
      </c>
      <c r="G17" s="111">
        <f>F17*E17</f>
        <v>25.91</v>
      </c>
      <c r="H17" s="111">
        <f>G17*12</f>
        <v>310.92</v>
      </c>
    </row>
    <row r="18" spans="1:8" ht="15" customHeight="1" thickBot="1" x14ac:dyDescent="0.3">
      <c r="A18" s="203" t="s">
        <v>138</v>
      </c>
      <c r="B18" s="251" t="s">
        <v>255</v>
      </c>
      <c r="C18" s="211">
        <v>2700</v>
      </c>
      <c r="D18" s="143" t="s">
        <v>289</v>
      </c>
      <c r="E18" s="146">
        <v>24.24</v>
      </c>
      <c r="F18" s="161">
        <f>'M2'!K32</f>
        <v>3.02</v>
      </c>
      <c r="G18" s="111">
        <f>F18*E18</f>
        <v>73.2</v>
      </c>
      <c r="H18" s="111">
        <f>G18*12</f>
        <v>878.4</v>
      </c>
    </row>
    <row r="19" spans="1:8" ht="15" customHeight="1" thickBot="1" x14ac:dyDescent="0.3">
      <c r="A19" s="205">
        <v>3</v>
      </c>
      <c r="B19" s="252" t="s">
        <v>213</v>
      </c>
      <c r="C19" s="149"/>
      <c r="D19" s="149"/>
      <c r="E19" s="210"/>
      <c r="F19" s="149"/>
      <c r="G19" s="149"/>
      <c r="H19" s="150"/>
    </row>
    <row r="20" spans="1:8" ht="15" customHeight="1" x14ac:dyDescent="0.25">
      <c r="A20" s="206" t="s">
        <v>139</v>
      </c>
      <c r="B20" s="254" t="s">
        <v>256</v>
      </c>
      <c r="C20" s="141">
        <v>380</v>
      </c>
      <c r="D20" s="143" t="s">
        <v>289</v>
      </c>
      <c r="E20" s="142">
        <v>43.7</v>
      </c>
      <c r="F20" s="160">
        <f>'M2'!H37</f>
        <v>1.82</v>
      </c>
      <c r="G20" s="111">
        <f>F20*E20</f>
        <v>79.53</v>
      </c>
      <c r="H20" s="111">
        <f>G20*12</f>
        <v>954.36</v>
      </c>
    </row>
    <row r="21" spans="1:8" ht="15" customHeight="1" x14ac:dyDescent="0.25">
      <c r="A21" s="203" t="s">
        <v>257</v>
      </c>
      <c r="B21" s="251" t="s">
        <v>258</v>
      </c>
      <c r="C21" s="143">
        <v>160</v>
      </c>
      <c r="D21" s="143" t="s">
        <v>289</v>
      </c>
      <c r="E21" s="144">
        <v>4</v>
      </c>
      <c r="F21" s="162">
        <f>'M2'!H42</f>
        <v>4.32</v>
      </c>
      <c r="G21" s="111">
        <f>F21*E21</f>
        <v>17.28</v>
      </c>
      <c r="H21" s="111">
        <f>G21*12</f>
        <v>207.36</v>
      </c>
    </row>
    <row r="22" spans="1:8" ht="15" customHeight="1" thickBot="1" x14ac:dyDescent="0.3">
      <c r="A22" s="203" t="s">
        <v>227</v>
      </c>
      <c r="B22" s="251" t="s">
        <v>219</v>
      </c>
      <c r="C22" s="211">
        <v>380</v>
      </c>
      <c r="D22" s="143" t="s">
        <v>289</v>
      </c>
      <c r="E22" s="144">
        <v>47.7</v>
      </c>
      <c r="F22" s="162">
        <f>'M2'!H47</f>
        <v>1.82</v>
      </c>
      <c r="G22" s="111">
        <f>F22*E22</f>
        <v>86.81</v>
      </c>
      <c r="H22" s="111">
        <f>G22*12</f>
        <v>1041.72</v>
      </c>
    </row>
    <row r="23" spans="1:8" ht="15" customHeight="1" thickBot="1" x14ac:dyDescent="0.3">
      <c r="A23" s="148"/>
      <c r="B23" s="149"/>
      <c r="C23" s="149"/>
      <c r="D23" s="149"/>
      <c r="E23" s="149"/>
      <c r="F23" s="150" t="s">
        <v>259</v>
      </c>
      <c r="G23" s="157">
        <f>SUM(G6:G22)</f>
        <v>13899.99</v>
      </c>
      <c r="H23" s="157">
        <f>SUM(H6:H22)</f>
        <v>166799.88</v>
      </c>
    </row>
  </sheetData>
  <mergeCells count="2">
    <mergeCell ref="A1:H1"/>
    <mergeCell ref="A2:H2"/>
  </mergeCells>
  <pageMargins left="0.7" right="0.7" top="0.75" bottom="0.75" header="0.3" footer="0.3"/>
  <pageSetup paperSize="9" scale="48" orientation="portrait" verticalDpi="598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view="pageBreakPreview" zoomScaleNormal="100" zoomScaleSheetLayoutView="100" workbookViewId="0">
      <selection activeCell="B11" sqref="B11"/>
    </sheetView>
  </sheetViews>
  <sheetFormatPr defaultRowHeight="15" x14ac:dyDescent="0.25"/>
  <cols>
    <col min="1" max="11" width="12.7109375" customWidth="1"/>
  </cols>
  <sheetData>
    <row r="1" spans="1:11" ht="15.75" customHeight="1" thickBot="1" x14ac:dyDescent="0.3">
      <c r="A1" s="317" t="s">
        <v>160</v>
      </c>
      <c r="B1" s="318"/>
      <c r="C1" s="318"/>
      <c r="D1" s="318"/>
      <c r="E1" s="318"/>
      <c r="F1" s="318"/>
      <c r="G1" s="318"/>
      <c r="H1" s="318"/>
      <c r="I1" s="318"/>
      <c r="J1" s="318"/>
      <c r="K1" s="319"/>
    </row>
    <row r="2" spans="1:11" ht="15" customHeight="1" thickBot="1" x14ac:dyDescent="0.3">
      <c r="A2" s="105"/>
      <c r="B2" s="129"/>
      <c r="C2" s="129"/>
      <c r="D2" s="129"/>
      <c r="E2" s="129"/>
      <c r="F2" s="130"/>
      <c r="G2" s="227"/>
      <c r="H2" s="227"/>
      <c r="I2" s="228"/>
      <c r="J2" s="228"/>
      <c r="K2" s="229"/>
    </row>
    <row r="3" spans="1:11" ht="15" customHeight="1" thickBot="1" x14ac:dyDescent="0.3">
      <c r="A3" s="323" t="s">
        <v>140</v>
      </c>
      <c r="B3" s="324"/>
      <c r="C3" s="324"/>
      <c r="D3" s="324"/>
      <c r="E3" s="324"/>
      <c r="F3" s="324"/>
      <c r="G3" s="324"/>
      <c r="H3" s="324"/>
      <c r="I3" s="324"/>
      <c r="J3" s="324"/>
      <c r="K3" s="325"/>
    </row>
    <row r="4" spans="1:11" ht="15" customHeight="1" x14ac:dyDescent="0.25">
      <c r="A4" s="326" t="s">
        <v>235</v>
      </c>
      <c r="B4" s="327"/>
      <c r="C4" s="327"/>
      <c r="D4" s="327"/>
      <c r="E4" s="328"/>
      <c r="F4" s="147"/>
      <c r="G4" s="326" t="s">
        <v>247</v>
      </c>
      <c r="H4" s="327"/>
      <c r="I4" s="327"/>
      <c r="J4" s="327"/>
      <c r="K4" s="328"/>
    </row>
    <row r="5" spans="1:11" ht="45" customHeight="1" x14ac:dyDescent="0.25">
      <c r="A5" s="49" t="s">
        <v>161</v>
      </c>
      <c r="B5" s="329" t="s">
        <v>195</v>
      </c>
      <c r="C5" s="330"/>
      <c r="D5" s="239" t="s">
        <v>162</v>
      </c>
      <c r="E5" s="112" t="s">
        <v>196</v>
      </c>
      <c r="F5" s="131"/>
      <c r="G5" s="49" t="s">
        <v>161</v>
      </c>
      <c r="H5" s="329" t="s">
        <v>195</v>
      </c>
      <c r="I5" s="330"/>
      <c r="J5" s="239" t="s">
        <v>162</v>
      </c>
      <c r="K5" s="112" t="s">
        <v>196</v>
      </c>
    </row>
    <row r="6" spans="1:11" ht="15" customHeight="1" x14ac:dyDescent="0.25">
      <c r="A6" s="113" t="s">
        <v>163</v>
      </c>
      <c r="B6" s="114" t="s">
        <v>267</v>
      </c>
      <c r="C6" s="115">
        <f>1/800</f>
        <v>1.25E-3</v>
      </c>
      <c r="D6" s="116">
        <f>'Auxiliar de Limpeza - Diurno'!E112</f>
        <v>8145.85</v>
      </c>
      <c r="E6" s="117">
        <f>ROUND(C6*D6,2)</f>
        <v>10.18</v>
      </c>
      <c r="F6" s="131"/>
      <c r="G6" s="113" t="s">
        <v>163</v>
      </c>
      <c r="H6" s="114" t="s">
        <v>225</v>
      </c>
      <c r="I6" s="115">
        <f>1/650</f>
        <v>1.53846E-3</v>
      </c>
      <c r="J6" s="116">
        <f>'Auxiliar de Limpeza - Diurno'!E112</f>
        <v>8145.85</v>
      </c>
      <c r="K6" s="117">
        <f>ROUND(I6*J6,2)</f>
        <v>12.53</v>
      </c>
    </row>
    <row r="7" spans="1:11" ht="15" customHeight="1" thickBot="1" x14ac:dyDescent="0.3">
      <c r="A7" s="320" t="s">
        <v>165</v>
      </c>
      <c r="B7" s="321"/>
      <c r="C7" s="321"/>
      <c r="D7" s="322"/>
      <c r="E7" s="123">
        <f>SUM(E6:E6)</f>
        <v>10.18</v>
      </c>
      <c r="F7" s="131"/>
      <c r="G7" s="320" t="s">
        <v>165</v>
      </c>
      <c r="H7" s="321"/>
      <c r="I7" s="321"/>
      <c r="J7" s="322"/>
      <c r="K7" s="123">
        <f>SUM(K6:K6)</f>
        <v>12.53</v>
      </c>
    </row>
    <row r="8" spans="1:11" ht="15" customHeight="1" thickBot="1" x14ac:dyDescent="0.3">
      <c r="A8" s="108"/>
      <c r="B8" s="132"/>
      <c r="C8" s="147"/>
      <c r="D8" s="133"/>
      <c r="E8" s="134"/>
      <c r="F8" s="147"/>
      <c r="G8" s="147"/>
      <c r="H8" s="147"/>
      <c r="I8" s="147"/>
      <c r="J8" s="147"/>
      <c r="K8" s="122"/>
    </row>
    <row r="9" spans="1:11" ht="15" customHeight="1" x14ac:dyDescent="0.25">
      <c r="A9" s="333" t="s">
        <v>268</v>
      </c>
      <c r="B9" s="334"/>
      <c r="C9" s="334"/>
      <c r="D9" s="334"/>
      <c r="E9" s="335"/>
      <c r="F9" s="147"/>
      <c r="G9" s="338" t="s">
        <v>249</v>
      </c>
      <c r="H9" s="339"/>
      <c r="I9" s="339"/>
      <c r="J9" s="339"/>
      <c r="K9" s="340"/>
    </row>
    <row r="10" spans="1:11" ht="45" customHeight="1" x14ac:dyDescent="0.25">
      <c r="A10" s="49" t="s">
        <v>161</v>
      </c>
      <c r="B10" s="329" t="s">
        <v>195</v>
      </c>
      <c r="C10" s="330"/>
      <c r="D10" s="239" t="s">
        <v>162</v>
      </c>
      <c r="E10" s="112" t="s">
        <v>196</v>
      </c>
      <c r="F10" s="147"/>
      <c r="G10" s="49" t="s">
        <v>161</v>
      </c>
      <c r="H10" s="329" t="s">
        <v>195</v>
      </c>
      <c r="I10" s="330"/>
      <c r="J10" s="239" t="s">
        <v>162</v>
      </c>
      <c r="K10" s="112" t="s">
        <v>196</v>
      </c>
    </row>
    <row r="11" spans="1:11" ht="15" customHeight="1" x14ac:dyDescent="0.25">
      <c r="A11" s="113" t="s">
        <v>163</v>
      </c>
      <c r="B11" s="114" t="s">
        <v>164</v>
      </c>
      <c r="C11" s="115">
        <f>1/350</f>
        <v>2.8571400000000002E-3</v>
      </c>
      <c r="D11" s="116">
        <f>'Auxiliar de Limpeza - Noturno'!E112</f>
        <v>8886.06</v>
      </c>
      <c r="E11" s="117">
        <f>ROUND(C11*D11,2)</f>
        <v>25.39</v>
      </c>
      <c r="F11" s="147"/>
      <c r="G11" s="113" t="s">
        <v>163</v>
      </c>
      <c r="H11" s="118" t="s">
        <v>226</v>
      </c>
      <c r="I11" s="115">
        <f>1/1300</f>
        <v>7.6922999999999998E-4</v>
      </c>
      <c r="J11" s="116">
        <f>'Auxiliar de Limpeza - Noturno'!E112</f>
        <v>8886.06</v>
      </c>
      <c r="K11" s="117">
        <f>ROUND(I11*J11,2)</f>
        <v>6.84</v>
      </c>
    </row>
    <row r="12" spans="1:11" ht="15" customHeight="1" thickBot="1" x14ac:dyDescent="0.3">
      <c r="A12" s="320" t="s">
        <v>165</v>
      </c>
      <c r="B12" s="321"/>
      <c r="C12" s="321"/>
      <c r="D12" s="322"/>
      <c r="E12" s="123">
        <f>SUM(E11:E11)</f>
        <v>25.39</v>
      </c>
      <c r="F12" s="147"/>
      <c r="G12" s="336" t="s">
        <v>165</v>
      </c>
      <c r="H12" s="337"/>
      <c r="I12" s="337"/>
      <c r="J12" s="337"/>
      <c r="K12" s="123">
        <f>SUM(K11:K11)</f>
        <v>6.84</v>
      </c>
    </row>
    <row r="13" spans="1:11" ht="15" customHeight="1" thickBot="1" x14ac:dyDescent="0.3">
      <c r="A13" s="124"/>
      <c r="B13" s="135"/>
      <c r="C13" s="135"/>
      <c r="D13" s="135"/>
      <c r="E13" s="134"/>
      <c r="F13" s="147"/>
      <c r="G13" s="135"/>
      <c r="H13" s="135"/>
      <c r="I13" s="135"/>
      <c r="J13" s="135"/>
      <c r="K13" s="125"/>
    </row>
    <row r="14" spans="1:11" ht="15" customHeight="1" x14ac:dyDescent="0.25">
      <c r="A14" s="333" t="s">
        <v>269</v>
      </c>
      <c r="B14" s="334"/>
      <c r="C14" s="334"/>
      <c r="D14" s="334"/>
      <c r="E14" s="335"/>
      <c r="F14" s="147"/>
      <c r="G14" s="338" t="s">
        <v>251</v>
      </c>
      <c r="H14" s="339"/>
      <c r="I14" s="339"/>
      <c r="J14" s="339"/>
      <c r="K14" s="340"/>
    </row>
    <row r="15" spans="1:11" ht="45" customHeight="1" x14ac:dyDescent="0.25">
      <c r="A15" s="49" t="s">
        <v>161</v>
      </c>
      <c r="B15" s="329" t="s">
        <v>195</v>
      </c>
      <c r="C15" s="330"/>
      <c r="D15" s="239" t="s">
        <v>162</v>
      </c>
      <c r="E15" s="112" t="s">
        <v>196</v>
      </c>
      <c r="F15" s="147"/>
      <c r="G15" s="49" t="s">
        <v>161</v>
      </c>
      <c r="H15" s="329" t="s">
        <v>195</v>
      </c>
      <c r="I15" s="330"/>
      <c r="J15" s="239" t="s">
        <v>162</v>
      </c>
      <c r="K15" s="112" t="s">
        <v>196</v>
      </c>
    </row>
    <row r="16" spans="1:11" ht="15" customHeight="1" x14ac:dyDescent="0.25">
      <c r="A16" s="113" t="s">
        <v>163</v>
      </c>
      <c r="B16" s="114" t="s">
        <v>220</v>
      </c>
      <c r="C16" s="115">
        <f>1/700</f>
        <v>1.4285700000000001E-3</v>
      </c>
      <c r="D16" s="116">
        <f>'Auxiliar de Limpeza - Noturno'!E112</f>
        <v>8886.06</v>
      </c>
      <c r="E16" s="117">
        <f>ROUND(C16*D16,2)</f>
        <v>12.69</v>
      </c>
      <c r="F16" s="147"/>
      <c r="G16" s="113" t="s">
        <v>163</v>
      </c>
      <c r="H16" s="118" t="s">
        <v>166</v>
      </c>
      <c r="I16" s="115">
        <f>1/550</f>
        <v>1.81818E-3</v>
      </c>
      <c r="J16" s="116">
        <f>'Auxiliar de Limpeza - Diurno'!E112</f>
        <v>8145.85</v>
      </c>
      <c r="K16" s="117">
        <f>ROUND(I16*J16,2)</f>
        <v>14.81</v>
      </c>
    </row>
    <row r="17" spans="1:11" ht="15" customHeight="1" thickBot="1" x14ac:dyDescent="0.3">
      <c r="A17" s="320" t="s">
        <v>165</v>
      </c>
      <c r="B17" s="321"/>
      <c r="C17" s="321"/>
      <c r="D17" s="322"/>
      <c r="E17" s="123">
        <f>SUM(E16:E16)</f>
        <v>12.69</v>
      </c>
      <c r="F17" s="147"/>
      <c r="G17" s="336" t="s">
        <v>165</v>
      </c>
      <c r="H17" s="337"/>
      <c r="I17" s="337"/>
      <c r="J17" s="337"/>
      <c r="K17" s="123">
        <f>SUM(K16:K16)</f>
        <v>14.81</v>
      </c>
    </row>
    <row r="18" spans="1:11" ht="15" customHeight="1" thickBot="1" x14ac:dyDescent="0.3">
      <c r="A18" s="124"/>
      <c r="B18" s="151"/>
      <c r="C18" s="151"/>
      <c r="D18" s="151"/>
      <c r="E18" s="152"/>
      <c r="F18" s="147"/>
      <c r="G18" s="151"/>
      <c r="H18" s="151"/>
      <c r="I18" s="151"/>
      <c r="J18" s="151"/>
      <c r="K18" s="125"/>
    </row>
    <row r="19" spans="1:11" ht="15" customHeight="1" x14ac:dyDescent="0.25">
      <c r="A19" s="333" t="s">
        <v>243</v>
      </c>
      <c r="B19" s="334"/>
      <c r="C19" s="334"/>
      <c r="D19" s="334"/>
      <c r="E19" s="335"/>
      <c r="F19" s="153"/>
      <c r="G19" s="326" t="s">
        <v>253</v>
      </c>
      <c r="H19" s="327"/>
      <c r="I19" s="327"/>
      <c r="J19" s="327"/>
      <c r="K19" s="328"/>
    </row>
    <row r="20" spans="1:11" ht="45" customHeight="1" x14ac:dyDescent="0.25">
      <c r="A20" s="49" t="s">
        <v>161</v>
      </c>
      <c r="B20" s="329" t="s">
        <v>195</v>
      </c>
      <c r="C20" s="330"/>
      <c r="D20" s="239" t="s">
        <v>162</v>
      </c>
      <c r="E20" s="112" t="s">
        <v>196</v>
      </c>
      <c r="F20" s="153"/>
      <c r="G20" s="49" t="s">
        <v>161</v>
      </c>
      <c r="H20" s="329" t="s">
        <v>195</v>
      </c>
      <c r="I20" s="330"/>
      <c r="J20" s="239" t="s">
        <v>162</v>
      </c>
      <c r="K20" s="112" t="s">
        <v>196</v>
      </c>
    </row>
    <row r="21" spans="1:11" ht="15" customHeight="1" x14ac:dyDescent="0.25">
      <c r="A21" s="113" t="s">
        <v>163</v>
      </c>
      <c r="B21" s="114" t="s">
        <v>171</v>
      </c>
      <c r="C21" s="115">
        <f>1/450</f>
        <v>2.22222E-3</v>
      </c>
      <c r="D21" s="116">
        <f>'Auxiliar de Limpeza - Diurno'!E112</f>
        <v>8145.85</v>
      </c>
      <c r="E21" s="117">
        <f>ROUND(C21*D21,2)</f>
        <v>18.100000000000001</v>
      </c>
      <c r="F21" s="153"/>
      <c r="G21" s="113" t="s">
        <v>163</v>
      </c>
      <c r="H21" s="114" t="s">
        <v>267</v>
      </c>
      <c r="I21" s="115">
        <f>1/800</f>
        <v>1.25E-3</v>
      </c>
      <c r="J21" s="116">
        <f>'Auxiliar de Limpeza - Diurno'!E112</f>
        <v>8145.85</v>
      </c>
      <c r="K21" s="117">
        <f>ROUND(I21*J21,2)</f>
        <v>10.18</v>
      </c>
    </row>
    <row r="22" spans="1:11" ht="15" customHeight="1" thickBot="1" x14ac:dyDescent="0.3">
      <c r="A22" s="320" t="s">
        <v>165</v>
      </c>
      <c r="B22" s="321"/>
      <c r="C22" s="321"/>
      <c r="D22" s="322"/>
      <c r="E22" s="123">
        <f>SUM(E21:E21)</f>
        <v>18.100000000000001</v>
      </c>
      <c r="F22" s="153"/>
      <c r="G22" s="336" t="s">
        <v>165</v>
      </c>
      <c r="H22" s="337"/>
      <c r="I22" s="337"/>
      <c r="J22" s="337"/>
      <c r="K22" s="123">
        <f>SUM(K21:K21)</f>
        <v>10.18</v>
      </c>
    </row>
    <row r="23" spans="1:11" ht="15" customHeight="1" thickBot="1" x14ac:dyDescent="0.3">
      <c r="A23" s="109"/>
      <c r="B23" s="147"/>
      <c r="C23" s="147"/>
      <c r="D23" s="133"/>
      <c r="E23" s="134"/>
      <c r="F23" s="153"/>
      <c r="G23" s="153"/>
      <c r="H23" s="153"/>
      <c r="I23" s="153"/>
      <c r="J23" s="153"/>
      <c r="K23" s="154"/>
    </row>
    <row r="24" spans="1:11" ht="15" customHeight="1" x14ac:dyDescent="0.25">
      <c r="A24" s="333" t="s">
        <v>245</v>
      </c>
      <c r="B24" s="334"/>
      <c r="C24" s="334"/>
      <c r="D24" s="334"/>
      <c r="E24" s="335"/>
      <c r="F24" s="153"/>
      <c r="G24" s="153"/>
      <c r="H24" s="153"/>
      <c r="I24" s="153"/>
      <c r="J24" s="153"/>
      <c r="K24" s="154"/>
    </row>
    <row r="25" spans="1:11" ht="45" customHeight="1" x14ac:dyDescent="0.25">
      <c r="A25" s="49" t="s">
        <v>161</v>
      </c>
      <c r="B25" s="329" t="s">
        <v>195</v>
      </c>
      <c r="C25" s="330"/>
      <c r="D25" s="239" t="s">
        <v>162</v>
      </c>
      <c r="E25" s="112" t="s">
        <v>196</v>
      </c>
      <c r="F25" s="153"/>
      <c r="G25" s="153"/>
      <c r="H25" s="153"/>
      <c r="I25" s="153"/>
      <c r="J25" s="153"/>
      <c r="K25" s="154"/>
    </row>
    <row r="26" spans="1:11" ht="15" customHeight="1" x14ac:dyDescent="0.25">
      <c r="A26" s="113" t="s">
        <v>163</v>
      </c>
      <c r="B26" s="114" t="s">
        <v>221</v>
      </c>
      <c r="C26" s="115">
        <f>1/900</f>
        <v>1.11111E-3</v>
      </c>
      <c r="D26" s="116">
        <f>'Auxiliar de Limpeza - Noturno'!E112</f>
        <v>8886.06</v>
      </c>
      <c r="E26" s="117">
        <f>ROUND(C26*D26,2)</f>
        <v>9.8699999999999992</v>
      </c>
      <c r="F26" s="153"/>
      <c r="G26" s="153"/>
      <c r="H26" s="153"/>
      <c r="I26" s="153"/>
      <c r="J26" s="153"/>
      <c r="K26" s="154"/>
    </row>
    <row r="27" spans="1:11" ht="15" customHeight="1" thickBot="1" x14ac:dyDescent="0.3">
      <c r="A27" s="320" t="s">
        <v>165</v>
      </c>
      <c r="B27" s="321"/>
      <c r="C27" s="321"/>
      <c r="D27" s="322"/>
      <c r="E27" s="123">
        <f>SUM(E26:E26)</f>
        <v>9.8699999999999992</v>
      </c>
      <c r="F27" s="155"/>
      <c r="G27" s="155"/>
      <c r="H27" s="155"/>
      <c r="I27" s="155"/>
      <c r="J27" s="155"/>
      <c r="K27" s="156"/>
    </row>
    <row r="28" spans="1:11" ht="15" customHeight="1" thickBot="1" x14ac:dyDescent="0.3">
      <c r="A28" s="317" t="s">
        <v>133</v>
      </c>
      <c r="B28" s="318"/>
      <c r="C28" s="318"/>
      <c r="D28" s="318"/>
      <c r="E28" s="318"/>
      <c r="F28" s="318"/>
      <c r="G28" s="318"/>
      <c r="H28" s="318"/>
      <c r="I28" s="318"/>
      <c r="J28" s="318"/>
      <c r="K28" s="319"/>
    </row>
    <row r="29" spans="1:11" ht="15" customHeight="1" x14ac:dyDescent="0.25">
      <c r="A29" s="344" t="s">
        <v>254</v>
      </c>
      <c r="B29" s="345"/>
      <c r="C29" s="345"/>
      <c r="D29" s="345"/>
      <c r="E29" s="346"/>
      <c r="F29" s="147"/>
      <c r="G29" s="344" t="s">
        <v>255</v>
      </c>
      <c r="H29" s="345"/>
      <c r="I29" s="345"/>
      <c r="J29" s="345"/>
      <c r="K29" s="346"/>
    </row>
    <row r="30" spans="1:11" ht="45" customHeight="1" x14ac:dyDescent="0.25">
      <c r="A30" s="49" t="s">
        <v>161</v>
      </c>
      <c r="B30" s="329" t="s">
        <v>195</v>
      </c>
      <c r="C30" s="330"/>
      <c r="D30" s="239" t="s">
        <v>162</v>
      </c>
      <c r="E30" s="112" t="s">
        <v>196</v>
      </c>
      <c r="F30" s="147"/>
      <c r="G30" s="49" t="s">
        <v>161</v>
      </c>
      <c r="H30" s="331" t="s">
        <v>195</v>
      </c>
      <c r="I30" s="332"/>
      <c r="J30" s="239" t="s">
        <v>162</v>
      </c>
      <c r="K30" s="112" t="s">
        <v>196</v>
      </c>
    </row>
    <row r="31" spans="1:11" ht="15" customHeight="1" x14ac:dyDescent="0.25">
      <c r="A31" s="113" t="s">
        <v>163</v>
      </c>
      <c r="B31" s="118" t="s">
        <v>172</v>
      </c>
      <c r="C31" s="115">
        <f>1/2700</f>
        <v>3.7037000000000002E-4</v>
      </c>
      <c r="D31" s="116">
        <f>'Auxiliar de Limpeza - Diurno'!E112</f>
        <v>8145.85</v>
      </c>
      <c r="E31" s="117">
        <f>D31*C31</f>
        <v>3.02</v>
      </c>
      <c r="F31" s="147"/>
      <c r="G31" s="113" t="s">
        <v>163</v>
      </c>
      <c r="H31" s="118" t="s">
        <v>172</v>
      </c>
      <c r="I31" s="115">
        <f>1/2700</f>
        <v>3.7037000000000002E-4</v>
      </c>
      <c r="J31" s="116">
        <f>'Auxiliar de Limpeza - Diurno'!E112</f>
        <v>8145.85</v>
      </c>
      <c r="K31" s="117">
        <f>J31*I31</f>
        <v>3.02</v>
      </c>
    </row>
    <row r="32" spans="1:11" ht="15" customHeight="1" thickBot="1" x14ac:dyDescent="0.3">
      <c r="A32" s="320" t="s">
        <v>165</v>
      </c>
      <c r="B32" s="321"/>
      <c r="C32" s="321"/>
      <c r="D32" s="322"/>
      <c r="E32" s="123">
        <f>SUM(E31:E31)</f>
        <v>3.02</v>
      </c>
      <c r="F32" s="147"/>
      <c r="G32" s="320" t="s">
        <v>165</v>
      </c>
      <c r="H32" s="321"/>
      <c r="I32" s="321"/>
      <c r="J32" s="322"/>
      <c r="K32" s="123">
        <f>SUM(K31:K31)</f>
        <v>3.02</v>
      </c>
    </row>
    <row r="33" spans="1:11" ht="15" customHeight="1" thickBot="1" x14ac:dyDescent="0.3">
      <c r="A33" s="317" t="s">
        <v>213</v>
      </c>
      <c r="B33" s="318"/>
      <c r="C33" s="318"/>
      <c r="D33" s="318"/>
      <c r="E33" s="318"/>
      <c r="F33" s="318"/>
      <c r="G33" s="318"/>
      <c r="H33" s="318"/>
      <c r="I33" s="318"/>
      <c r="J33" s="318"/>
      <c r="K33" s="319"/>
    </row>
    <row r="34" spans="1:11" ht="15" customHeight="1" x14ac:dyDescent="0.25">
      <c r="A34" s="349" t="s">
        <v>256</v>
      </c>
      <c r="B34" s="350"/>
      <c r="C34" s="350"/>
      <c r="D34" s="350"/>
      <c r="E34" s="350"/>
      <c r="F34" s="350"/>
      <c r="G34" s="350"/>
      <c r="H34" s="351"/>
      <c r="I34" s="228"/>
      <c r="J34" s="228"/>
      <c r="K34" s="229"/>
    </row>
    <row r="35" spans="1:11" ht="80.099999999999994" customHeight="1" x14ac:dyDescent="0.25">
      <c r="A35" s="106" t="s">
        <v>161</v>
      </c>
      <c r="B35" s="347" t="s">
        <v>195</v>
      </c>
      <c r="C35" s="348"/>
      <c r="D35" s="240" t="s">
        <v>167</v>
      </c>
      <c r="E35" s="240" t="s">
        <v>168</v>
      </c>
      <c r="F35" s="240" t="s">
        <v>169</v>
      </c>
      <c r="G35" s="240" t="s">
        <v>170</v>
      </c>
      <c r="H35" s="119" t="s">
        <v>197</v>
      </c>
      <c r="I35" s="228"/>
      <c r="J35" s="228"/>
      <c r="K35" s="229"/>
    </row>
    <row r="36" spans="1:11" ht="15" customHeight="1" x14ac:dyDescent="0.25">
      <c r="A36" s="107" t="s">
        <v>163</v>
      </c>
      <c r="B36" s="64" t="s">
        <v>228</v>
      </c>
      <c r="C36" s="65">
        <f>1/380</f>
        <v>2.6315800000000001E-3</v>
      </c>
      <c r="D36" s="64">
        <v>16</v>
      </c>
      <c r="E36" s="64">
        <f>1/188.76</f>
        <v>5.2977325704598403E-3</v>
      </c>
      <c r="F36" s="99">
        <f>C36*D36*E36</f>
        <v>2.231E-4</v>
      </c>
      <c r="G36" s="66">
        <f>'Auxiliar de Limpeza - Diurno'!E112</f>
        <v>8145.85</v>
      </c>
      <c r="H36" s="120">
        <f>G36*F36</f>
        <v>1.82</v>
      </c>
      <c r="I36" s="228"/>
      <c r="J36" s="228"/>
      <c r="K36" s="229"/>
    </row>
    <row r="37" spans="1:11" ht="15" customHeight="1" thickBot="1" x14ac:dyDescent="0.3">
      <c r="A37" s="341" t="s">
        <v>165</v>
      </c>
      <c r="B37" s="342"/>
      <c r="C37" s="342"/>
      <c r="D37" s="342"/>
      <c r="E37" s="342"/>
      <c r="F37" s="342"/>
      <c r="G37" s="343"/>
      <c r="H37" s="121">
        <f>SUM(H36:H36)</f>
        <v>1.82</v>
      </c>
      <c r="I37" s="228"/>
      <c r="J37" s="228"/>
      <c r="K37" s="229"/>
    </row>
    <row r="38" spans="1:11" ht="15" customHeight="1" thickBot="1" x14ac:dyDescent="0.3">
      <c r="A38" s="353"/>
      <c r="B38" s="352"/>
      <c r="C38" s="352"/>
      <c r="D38" s="352"/>
      <c r="E38" s="352"/>
      <c r="F38" s="352"/>
      <c r="G38" s="352"/>
      <c r="H38" s="352"/>
      <c r="I38" s="228"/>
      <c r="J38" s="228"/>
      <c r="K38" s="229"/>
    </row>
    <row r="39" spans="1:11" ht="15" customHeight="1" x14ac:dyDescent="0.25">
      <c r="A39" s="349" t="s">
        <v>258</v>
      </c>
      <c r="B39" s="350"/>
      <c r="C39" s="350"/>
      <c r="D39" s="350"/>
      <c r="E39" s="350"/>
      <c r="F39" s="350"/>
      <c r="G39" s="350"/>
      <c r="H39" s="351"/>
      <c r="I39" s="228"/>
      <c r="J39" s="228"/>
      <c r="K39" s="229"/>
    </row>
    <row r="40" spans="1:11" ht="80.099999999999994" customHeight="1" x14ac:dyDescent="0.25">
      <c r="A40" s="106" t="s">
        <v>161</v>
      </c>
      <c r="B40" s="347" t="s">
        <v>195</v>
      </c>
      <c r="C40" s="348"/>
      <c r="D40" s="240" t="s">
        <v>167</v>
      </c>
      <c r="E40" s="240" t="s">
        <v>168</v>
      </c>
      <c r="F40" s="240" t="s">
        <v>169</v>
      </c>
      <c r="G40" s="240" t="s">
        <v>170</v>
      </c>
      <c r="H40" s="119" t="s">
        <v>197</v>
      </c>
      <c r="I40" s="228"/>
      <c r="J40" s="228"/>
      <c r="K40" s="229"/>
    </row>
    <row r="41" spans="1:11" ht="15" customHeight="1" x14ac:dyDescent="0.25">
      <c r="A41" s="107" t="s">
        <v>163</v>
      </c>
      <c r="B41" s="64" t="s">
        <v>270</v>
      </c>
      <c r="C41" s="65">
        <f>1/160</f>
        <v>6.2500000000000003E-3</v>
      </c>
      <c r="D41" s="64">
        <v>16</v>
      </c>
      <c r="E41" s="64">
        <f>1/188.76</f>
        <v>5.2977325704598403E-3</v>
      </c>
      <c r="F41" s="99">
        <f>C41*D41*E41</f>
        <v>5.2979999999999998E-4</v>
      </c>
      <c r="G41" s="66">
        <f>'Auxiliar de Limpeza - Diurno'!E112</f>
        <v>8145.85</v>
      </c>
      <c r="H41" s="120">
        <f>G41*F41</f>
        <v>4.32</v>
      </c>
      <c r="I41" s="228"/>
      <c r="J41" s="228"/>
      <c r="K41" s="229"/>
    </row>
    <row r="42" spans="1:11" ht="15" customHeight="1" thickBot="1" x14ac:dyDescent="0.3">
      <c r="A42" s="341" t="s">
        <v>165</v>
      </c>
      <c r="B42" s="342"/>
      <c r="C42" s="342"/>
      <c r="D42" s="342"/>
      <c r="E42" s="342"/>
      <c r="F42" s="342"/>
      <c r="G42" s="343"/>
      <c r="H42" s="121">
        <f>SUM(H41:H41)</f>
        <v>4.32</v>
      </c>
      <c r="I42" s="228"/>
      <c r="J42" s="228"/>
      <c r="K42" s="229"/>
    </row>
    <row r="43" spans="1:11" ht="15" customHeight="1" thickBot="1" x14ac:dyDescent="0.3">
      <c r="A43" s="352"/>
      <c r="B43" s="352"/>
      <c r="C43" s="352"/>
      <c r="D43" s="352"/>
      <c r="E43" s="352"/>
      <c r="F43" s="352"/>
      <c r="G43" s="352"/>
      <c r="H43" s="352"/>
      <c r="I43" s="228"/>
      <c r="J43" s="228"/>
      <c r="K43" s="229"/>
    </row>
    <row r="44" spans="1:11" ht="15" customHeight="1" x14ac:dyDescent="0.25">
      <c r="A44" s="349" t="s">
        <v>219</v>
      </c>
      <c r="B44" s="350"/>
      <c r="C44" s="350"/>
      <c r="D44" s="350"/>
      <c r="E44" s="350"/>
      <c r="F44" s="350"/>
      <c r="G44" s="350"/>
      <c r="H44" s="351"/>
      <c r="I44" s="228"/>
      <c r="J44" s="228"/>
      <c r="K44" s="229"/>
    </row>
    <row r="45" spans="1:11" ht="80.099999999999994" customHeight="1" x14ac:dyDescent="0.25">
      <c r="A45" s="106" t="s">
        <v>161</v>
      </c>
      <c r="B45" s="347" t="s">
        <v>195</v>
      </c>
      <c r="C45" s="348"/>
      <c r="D45" s="240" t="s">
        <v>167</v>
      </c>
      <c r="E45" s="240" t="s">
        <v>168</v>
      </c>
      <c r="F45" s="240" t="s">
        <v>169</v>
      </c>
      <c r="G45" s="240" t="s">
        <v>170</v>
      </c>
      <c r="H45" s="119" t="s">
        <v>197</v>
      </c>
      <c r="I45" s="228"/>
      <c r="J45" s="228"/>
      <c r="K45" s="229"/>
    </row>
    <row r="46" spans="1:11" ht="15" customHeight="1" x14ac:dyDescent="0.25">
      <c r="A46" s="107" t="s">
        <v>163</v>
      </c>
      <c r="B46" s="64" t="s">
        <v>228</v>
      </c>
      <c r="C46" s="65">
        <f>1/380</f>
        <v>2.6315800000000001E-3</v>
      </c>
      <c r="D46" s="64">
        <v>16</v>
      </c>
      <c r="E46" s="64">
        <f>1/188.76</f>
        <v>5.2977325704598403E-3</v>
      </c>
      <c r="F46" s="99">
        <f>C46*D46*E46</f>
        <v>2.231E-4</v>
      </c>
      <c r="G46" s="66">
        <f>'Auxiliar de Limpeza - Diurno'!E112</f>
        <v>8145.85</v>
      </c>
      <c r="H46" s="120">
        <f>G46*F46</f>
        <v>1.82</v>
      </c>
      <c r="I46" s="228"/>
      <c r="J46" s="228"/>
      <c r="K46" s="229"/>
    </row>
    <row r="47" spans="1:11" ht="15" customHeight="1" thickBot="1" x14ac:dyDescent="0.3">
      <c r="A47" s="341" t="s">
        <v>165</v>
      </c>
      <c r="B47" s="342"/>
      <c r="C47" s="342"/>
      <c r="D47" s="342"/>
      <c r="E47" s="342"/>
      <c r="F47" s="342"/>
      <c r="G47" s="343"/>
      <c r="H47" s="121">
        <f>SUM(H46:H46)</f>
        <v>1.82</v>
      </c>
      <c r="I47" s="230"/>
      <c r="J47" s="230"/>
      <c r="K47" s="231"/>
    </row>
  </sheetData>
  <mergeCells count="48">
    <mergeCell ref="A47:G47"/>
    <mergeCell ref="G29:K29"/>
    <mergeCell ref="B45:C45"/>
    <mergeCell ref="A34:H34"/>
    <mergeCell ref="A44:H44"/>
    <mergeCell ref="B35:C35"/>
    <mergeCell ref="A32:D32"/>
    <mergeCell ref="G32:J32"/>
    <mergeCell ref="A29:E29"/>
    <mergeCell ref="A39:H39"/>
    <mergeCell ref="B40:C40"/>
    <mergeCell ref="A42:G42"/>
    <mergeCell ref="A43:H43"/>
    <mergeCell ref="A38:H38"/>
    <mergeCell ref="A37:G37"/>
    <mergeCell ref="A33:K33"/>
    <mergeCell ref="G9:K9"/>
    <mergeCell ref="H10:I10"/>
    <mergeCell ref="A12:D12"/>
    <mergeCell ref="A17:D17"/>
    <mergeCell ref="G12:J12"/>
    <mergeCell ref="G14:K14"/>
    <mergeCell ref="H15:I15"/>
    <mergeCell ref="G17:J17"/>
    <mergeCell ref="B15:C15"/>
    <mergeCell ref="A14:E14"/>
    <mergeCell ref="A9:E9"/>
    <mergeCell ref="B10:C10"/>
    <mergeCell ref="G19:K19"/>
    <mergeCell ref="H20:I20"/>
    <mergeCell ref="H30:I30"/>
    <mergeCell ref="B30:C30"/>
    <mergeCell ref="A27:D27"/>
    <mergeCell ref="A28:K28"/>
    <mergeCell ref="A24:E24"/>
    <mergeCell ref="B25:C25"/>
    <mergeCell ref="A19:E19"/>
    <mergeCell ref="B20:C20"/>
    <mergeCell ref="A22:D22"/>
    <mergeCell ref="G22:J22"/>
    <mergeCell ref="A1:K1"/>
    <mergeCell ref="A7:D7"/>
    <mergeCell ref="G7:J7"/>
    <mergeCell ref="A3:K3"/>
    <mergeCell ref="A4:E4"/>
    <mergeCell ref="B5:C5"/>
    <mergeCell ref="G4:K4"/>
    <mergeCell ref="H5:I5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5" zoomScaleNormal="115" zoomScaleSheetLayoutView="100" workbookViewId="0">
      <selection activeCell="B11" sqref="B11"/>
    </sheetView>
  </sheetViews>
  <sheetFormatPr defaultColWidth="9.140625" defaultRowHeight="15.75" x14ac:dyDescent="0.25"/>
  <cols>
    <col min="1" max="1" width="8.7109375" style="29" customWidth="1"/>
    <col min="2" max="2" width="70.7109375" style="31" customWidth="1"/>
    <col min="3" max="3" width="12.7109375" style="31" customWidth="1"/>
    <col min="4" max="4" width="8.7109375" style="32" customWidth="1"/>
    <col min="5" max="5" width="12.7109375" style="37" customWidth="1"/>
    <col min="6" max="16384" width="9.140625" style="28"/>
  </cols>
  <sheetData>
    <row r="1" spans="1:5" x14ac:dyDescent="0.25">
      <c r="A1" s="402"/>
      <c r="B1" s="403"/>
      <c r="C1" s="403"/>
      <c r="D1" s="403"/>
      <c r="E1" s="404"/>
    </row>
    <row r="2" spans="1:5" s="38" customFormat="1" ht="16.5" customHeight="1" thickBot="1" x14ac:dyDescent="0.3">
      <c r="A2" s="426"/>
      <c r="B2" s="427"/>
      <c r="C2" s="427"/>
      <c r="D2" s="427"/>
      <c r="E2" s="428"/>
    </row>
    <row r="3" spans="1:5" s="38" customFormat="1" x14ac:dyDescent="0.25">
      <c r="A3" s="432" t="s">
        <v>125</v>
      </c>
      <c r="B3" s="433"/>
      <c r="C3" s="433"/>
      <c r="D3" s="433"/>
      <c r="E3" s="434"/>
    </row>
    <row r="4" spans="1:5" s="38" customFormat="1" ht="15" customHeight="1" x14ac:dyDescent="0.25">
      <c r="A4" s="44" t="s">
        <v>0</v>
      </c>
      <c r="B4" s="45" t="s">
        <v>1</v>
      </c>
      <c r="C4" s="429">
        <v>2025</v>
      </c>
      <c r="D4" s="430"/>
      <c r="E4" s="431"/>
    </row>
    <row r="5" spans="1:5" s="38" customFormat="1" ht="99.95" customHeight="1" x14ac:dyDescent="0.25">
      <c r="A5" s="44" t="s">
        <v>2</v>
      </c>
      <c r="B5" s="45" t="s">
        <v>134</v>
      </c>
      <c r="C5" s="405" t="s">
        <v>214</v>
      </c>
      <c r="D5" s="406"/>
      <c r="E5" s="407"/>
    </row>
    <row r="6" spans="1:5" s="38" customFormat="1" ht="15.75" customHeight="1" x14ac:dyDescent="0.25">
      <c r="A6" s="44" t="s">
        <v>3</v>
      </c>
      <c r="B6" s="45" t="s">
        <v>4</v>
      </c>
      <c r="C6" s="405" t="s">
        <v>298</v>
      </c>
      <c r="D6" s="406"/>
      <c r="E6" s="407"/>
    </row>
    <row r="7" spans="1:5" s="38" customFormat="1" x14ac:dyDescent="0.25">
      <c r="A7" s="44"/>
      <c r="B7" s="45" t="s">
        <v>194</v>
      </c>
      <c r="C7" s="405">
        <v>12</v>
      </c>
      <c r="D7" s="406"/>
      <c r="E7" s="407"/>
    </row>
    <row r="8" spans="1:5" s="38" customFormat="1" x14ac:dyDescent="0.25">
      <c r="A8" s="408" t="s">
        <v>6</v>
      </c>
      <c r="B8" s="409"/>
      <c r="C8" s="409"/>
      <c r="D8" s="409"/>
      <c r="E8" s="410"/>
    </row>
    <row r="9" spans="1:5" s="38" customFormat="1" x14ac:dyDescent="0.25">
      <c r="A9" s="411" t="s">
        <v>7</v>
      </c>
      <c r="B9" s="412"/>
      <c r="C9" s="412"/>
      <c r="D9" s="412"/>
      <c r="E9" s="413"/>
    </row>
    <row r="10" spans="1:5" s="38" customFormat="1" ht="15.75" customHeight="1" x14ac:dyDescent="0.25">
      <c r="A10" s="397" t="s">
        <v>8</v>
      </c>
      <c r="B10" s="398"/>
      <c r="C10" s="398"/>
      <c r="D10" s="398"/>
      <c r="E10" s="399"/>
    </row>
    <row r="11" spans="1:5" s="38" customFormat="1" ht="30" customHeight="1" x14ac:dyDescent="0.25">
      <c r="A11" s="417" t="s">
        <v>9</v>
      </c>
      <c r="B11" s="418"/>
      <c r="C11" s="418"/>
      <c r="D11" s="419"/>
      <c r="E11" s="137" t="s">
        <v>10</v>
      </c>
    </row>
    <row r="12" spans="1:5" s="38" customFormat="1" ht="15.75" customHeight="1" x14ac:dyDescent="0.25">
      <c r="A12" s="44">
        <v>1</v>
      </c>
      <c r="B12" s="46" t="s">
        <v>126</v>
      </c>
      <c r="C12" s="414" t="s">
        <v>217</v>
      </c>
      <c r="D12" s="415"/>
      <c r="E12" s="416"/>
    </row>
    <row r="13" spans="1:5" s="38" customFormat="1" ht="30" customHeight="1" x14ac:dyDescent="0.25">
      <c r="A13" s="44">
        <v>2</v>
      </c>
      <c r="B13" s="46" t="s">
        <v>11</v>
      </c>
      <c r="C13" s="423">
        <v>1743.48</v>
      </c>
      <c r="D13" s="424"/>
      <c r="E13" s="425"/>
    </row>
    <row r="14" spans="1:5" s="38" customFormat="1" ht="15.75" customHeight="1" x14ac:dyDescent="0.25">
      <c r="A14" s="44">
        <v>3</v>
      </c>
      <c r="B14" s="46" t="s">
        <v>12</v>
      </c>
      <c r="C14" s="414" t="s">
        <v>215</v>
      </c>
      <c r="D14" s="415"/>
      <c r="E14" s="416"/>
    </row>
    <row r="15" spans="1:5" s="38" customFormat="1" x14ac:dyDescent="0.25">
      <c r="A15" s="44">
        <v>4</v>
      </c>
      <c r="B15" s="47" t="s">
        <v>13</v>
      </c>
      <c r="C15" s="420">
        <v>45673</v>
      </c>
      <c r="D15" s="421"/>
      <c r="E15" s="422"/>
    </row>
    <row r="16" spans="1:5" s="39" customFormat="1" x14ac:dyDescent="0.25">
      <c r="A16" s="356" t="s">
        <v>14</v>
      </c>
      <c r="B16" s="357"/>
      <c r="C16" s="357"/>
      <c r="D16" s="357"/>
      <c r="E16" s="358"/>
    </row>
    <row r="17" spans="1:5" s="39" customFormat="1" x14ac:dyDescent="0.25">
      <c r="A17" s="48">
        <v>1</v>
      </c>
      <c r="B17" s="394" t="s">
        <v>15</v>
      </c>
      <c r="C17" s="395"/>
      <c r="D17" s="396"/>
      <c r="E17" s="77" t="s">
        <v>10</v>
      </c>
    </row>
    <row r="18" spans="1:5" s="38" customFormat="1" ht="15.75" customHeight="1" x14ac:dyDescent="0.25">
      <c r="A18" s="49" t="s">
        <v>0</v>
      </c>
      <c r="B18" s="213" t="s">
        <v>16</v>
      </c>
      <c r="C18" s="400"/>
      <c r="D18" s="401"/>
      <c r="E18" s="78">
        <f>C13</f>
        <v>1743.48</v>
      </c>
    </row>
    <row r="19" spans="1:5" s="38" customFormat="1" ht="15.75" customHeight="1" x14ac:dyDescent="0.25">
      <c r="A19" s="49" t="s">
        <v>2</v>
      </c>
      <c r="B19" s="213" t="s">
        <v>17</v>
      </c>
      <c r="C19" s="390" t="s">
        <v>18</v>
      </c>
      <c r="D19" s="391"/>
      <c r="E19" s="79"/>
    </row>
    <row r="20" spans="1:5" s="38" customFormat="1" ht="15.75" customHeight="1" x14ac:dyDescent="0.25">
      <c r="A20" s="49" t="s">
        <v>3</v>
      </c>
      <c r="B20" s="213" t="s">
        <v>19</v>
      </c>
      <c r="C20" s="438" t="s">
        <v>299</v>
      </c>
      <c r="D20" s="439"/>
      <c r="E20" s="79">
        <f>40%*1518</f>
        <v>607.20000000000005</v>
      </c>
    </row>
    <row r="21" spans="1:5" s="38" customFormat="1" ht="15.75" customHeight="1" x14ac:dyDescent="0.25">
      <c r="A21" s="49" t="s">
        <v>5</v>
      </c>
      <c r="B21" s="213" t="s">
        <v>20</v>
      </c>
      <c r="C21" s="390" t="s">
        <v>21</v>
      </c>
      <c r="D21" s="391"/>
      <c r="E21" s="79"/>
    </row>
    <row r="22" spans="1:5" s="38" customFormat="1" ht="15.75" customHeight="1" x14ac:dyDescent="0.25">
      <c r="A22" s="49" t="s">
        <v>22</v>
      </c>
      <c r="B22" s="213" t="s">
        <v>198</v>
      </c>
      <c r="C22" s="390" t="s">
        <v>23</v>
      </c>
      <c r="D22" s="391"/>
      <c r="E22" s="79"/>
    </row>
    <row r="23" spans="1:5" s="38" customFormat="1" x14ac:dyDescent="0.25">
      <c r="A23" s="49" t="s">
        <v>24</v>
      </c>
      <c r="B23" s="213" t="s">
        <v>131</v>
      </c>
      <c r="C23" s="392"/>
      <c r="D23" s="393"/>
      <c r="E23" s="79"/>
    </row>
    <row r="24" spans="1:5" s="38" customFormat="1" ht="15.75" customHeight="1" x14ac:dyDescent="0.25">
      <c r="A24" s="49" t="s">
        <v>25</v>
      </c>
      <c r="B24" s="214" t="s">
        <v>132</v>
      </c>
      <c r="C24" s="392"/>
      <c r="D24" s="393"/>
      <c r="E24" s="79"/>
    </row>
    <row r="25" spans="1:5" s="39" customFormat="1" ht="15.75" customHeight="1" x14ac:dyDescent="0.25">
      <c r="A25" s="365" t="s">
        <v>147</v>
      </c>
      <c r="B25" s="366"/>
      <c r="C25" s="366"/>
      <c r="D25" s="367"/>
      <c r="E25" s="80">
        <f>SUM(E18:E24)</f>
        <v>2350.6799999999998</v>
      </c>
    </row>
    <row r="26" spans="1:5" s="39" customFormat="1" x14ac:dyDescent="0.25">
      <c r="A26" s="356" t="s">
        <v>47</v>
      </c>
      <c r="B26" s="357"/>
      <c r="C26" s="357"/>
      <c r="D26" s="357"/>
      <c r="E26" s="358"/>
    </row>
    <row r="27" spans="1:5" s="38" customFormat="1" ht="30" customHeight="1" x14ac:dyDescent="0.25">
      <c r="A27" s="71">
        <v>2</v>
      </c>
      <c r="B27" s="215" t="s">
        <v>199</v>
      </c>
      <c r="C27" s="72" t="s">
        <v>189</v>
      </c>
      <c r="D27" s="73"/>
      <c r="E27" s="81" t="s">
        <v>10</v>
      </c>
    </row>
    <row r="28" spans="1:5" s="38" customFormat="1" x14ac:dyDescent="0.25">
      <c r="A28" s="51" t="s">
        <v>0</v>
      </c>
      <c r="B28" s="52" t="s">
        <v>33</v>
      </c>
      <c r="C28" s="41">
        <f>E25</f>
        <v>2350.6799999999998</v>
      </c>
      <c r="D28" s="55">
        <f>1/12</f>
        <v>8.3299999999999999E-2</v>
      </c>
      <c r="E28" s="74">
        <f>(C28)*D28</f>
        <v>195.81</v>
      </c>
    </row>
    <row r="29" spans="1:5" s="38" customFormat="1" x14ac:dyDescent="0.25">
      <c r="A29" s="51" t="s">
        <v>2</v>
      </c>
      <c r="B29" s="216" t="s">
        <v>291</v>
      </c>
      <c r="C29" s="41">
        <f>E25</f>
        <v>2350.6799999999998</v>
      </c>
      <c r="D29" s="55">
        <v>0.1111</v>
      </c>
      <c r="E29" s="74">
        <f>(C29)*D29</f>
        <v>261.16000000000003</v>
      </c>
    </row>
    <row r="30" spans="1:5" x14ac:dyDescent="0.25">
      <c r="A30" s="371" t="s">
        <v>31</v>
      </c>
      <c r="B30" s="372"/>
      <c r="C30" s="373"/>
      <c r="D30" s="76">
        <f>SUM(D28:D29)</f>
        <v>0.19439999999999999</v>
      </c>
      <c r="E30" s="75">
        <f>SUM(E28:E29)</f>
        <v>456.97</v>
      </c>
    </row>
    <row r="31" spans="1:5" ht="30" customHeight="1" x14ac:dyDescent="0.25">
      <c r="A31" s="440" t="s">
        <v>202</v>
      </c>
      <c r="B31" s="441"/>
      <c r="C31" s="441"/>
      <c r="D31" s="441"/>
      <c r="E31" s="442"/>
    </row>
    <row r="32" spans="1:5" ht="30" customHeight="1" x14ac:dyDescent="0.25">
      <c r="A32" s="242" t="s">
        <v>137</v>
      </c>
      <c r="B32" s="50" t="s">
        <v>29</v>
      </c>
      <c r="C32" s="40" t="s">
        <v>189</v>
      </c>
      <c r="D32" s="53"/>
      <c r="E32" s="82" t="s">
        <v>10</v>
      </c>
    </row>
    <row r="33" spans="1:5" x14ac:dyDescent="0.25">
      <c r="A33" s="51" t="s">
        <v>0</v>
      </c>
      <c r="B33" s="217" t="s">
        <v>292</v>
      </c>
      <c r="C33" s="41">
        <f>E$25+E$30</f>
        <v>2807.65</v>
      </c>
      <c r="D33" s="55">
        <v>0.2</v>
      </c>
      <c r="E33" s="74">
        <f t="shared" ref="E33:E40" si="0">C33*D33</f>
        <v>561.53</v>
      </c>
    </row>
    <row r="34" spans="1:5" x14ac:dyDescent="0.25">
      <c r="A34" s="51" t="s">
        <v>2</v>
      </c>
      <c r="B34" s="217" t="s">
        <v>296</v>
      </c>
      <c r="C34" s="41">
        <f>E$25+E$30</f>
        <v>2807.65</v>
      </c>
      <c r="D34" s="245">
        <v>2.5000000000000001E-2</v>
      </c>
      <c r="E34" s="74">
        <f t="shared" si="0"/>
        <v>70.19</v>
      </c>
    </row>
    <row r="35" spans="1:5" ht="45" x14ac:dyDescent="0.25">
      <c r="A35" s="51" t="s">
        <v>3</v>
      </c>
      <c r="B35" s="218" t="s">
        <v>297</v>
      </c>
      <c r="C35" s="41">
        <f>E$25+E$30</f>
        <v>2807.65</v>
      </c>
      <c r="D35" s="245">
        <v>0.03</v>
      </c>
      <c r="E35" s="74">
        <f t="shared" si="0"/>
        <v>84.23</v>
      </c>
    </row>
    <row r="36" spans="1:5" x14ac:dyDescent="0.25">
      <c r="A36" s="51" t="s">
        <v>5</v>
      </c>
      <c r="B36" s="217" t="s">
        <v>293</v>
      </c>
      <c r="C36" s="41">
        <f t="shared" ref="C36:C40" si="1">E$25+E$30</f>
        <v>2807.65</v>
      </c>
      <c r="D36" s="245">
        <v>1.4999999999999999E-2</v>
      </c>
      <c r="E36" s="74">
        <f t="shared" si="0"/>
        <v>42.11</v>
      </c>
    </row>
    <row r="37" spans="1:5" x14ac:dyDescent="0.25">
      <c r="A37" s="51" t="s">
        <v>22</v>
      </c>
      <c r="B37" s="217" t="s">
        <v>294</v>
      </c>
      <c r="C37" s="41">
        <f t="shared" si="1"/>
        <v>2807.65</v>
      </c>
      <c r="D37" s="245">
        <v>0.01</v>
      </c>
      <c r="E37" s="74">
        <f t="shared" si="0"/>
        <v>28.08</v>
      </c>
    </row>
    <row r="38" spans="1:5" x14ac:dyDescent="0.25">
      <c r="A38" s="51" t="s">
        <v>24</v>
      </c>
      <c r="B38" s="220" t="s">
        <v>201</v>
      </c>
      <c r="C38" s="41">
        <f t="shared" si="1"/>
        <v>2807.65</v>
      </c>
      <c r="D38" s="245">
        <v>6.0000000000000001E-3</v>
      </c>
      <c r="E38" s="74">
        <f t="shared" si="0"/>
        <v>16.850000000000001</v>
      </c>
    </row>
    <row r="39" spans="1:5" ht="30" x14ac:dyDescent="0.25">
      <c r="A39" s="51" t="s">
        <v>25</v>
      </c>
      <c r="B39" s="218" t="s">
        <v>295</v>
      </c>
      <c r="C39" s="41">
        <f t="shared" si="1"/>
        <v>2807.65</v>
      </c>
      <c r="D39" s="245">
        <v>2E-3</v>
      </c>
      <c r="E39" s="74">
        <f t="shared" si="0"/>
        <v>5.62</v>
      </c>
    </row>
    <row r="40" spans="1:5" x14ac:dyDescent="0.25">
      <c r="A40" s="51" t="s">
        <v>30</v>
      </c>
      <c r="B40" s="219" t="s">
        <v>200</v>
      </c>
      <c r="C40" s="41">
        <f t="shared" si="1"/>
        <v>2807.65</v>
      </c>
      <c r="D40" s="245">
        <v>0.08</v>
      </c>
      <c r="E40" s="74">
        <f t="shared" si="0"/>
        <v>224.61</v>
      </c>
    </row>
    <row r="41" spans="1:5" s="30" customFormat="1" x14ac:dyDescent="0.25">
      <c r="A41" s="371" t="s">
        <v>31</v>
      </c>
      <c r="B41" s="372"/>
      <c r="C41" s="373"/>
      <c r="D41" s="68">
        <f>SUM(D33:D40)</f>
        <v>0.36799999999999999</v>
      </c>
      <c r="E41" s="75">
        <f>SUM(E33:E40)</f>
        <v>1033.22</v>
      </c>
    </row>
    <row r="42" spans="1:5" s="30" customFormat="1" x14ac:dyDescent="0.25">
      <c r="A42" s="368" t="s">
        <v>176</v>
      </c>
      <c r="B42" s="369"/>
      <c r="C42" s="369"/>
      <c r="D42" s="369"/>
      <c r="E42" s="370"/>
    </row>
    <row r="43" spans="1:5" s="30" customFormat="1" ht="30" customHeight="1" x14ac:dyDescent="0.25">
      <c r="A43" s="221" t="s">
        <v>192</v>
      </c>
      <c r="B43" s="222" t="s">
        <v>203</v>
      </c>
      <c r="C43" s="72" t="s">
        <v>189</v>
      </c>
      <c r="D43" s="73"/>
      <c r="E43" s="81" t="s">
        <v>10</v>
      </c>
    </row>
    <row r="44" spans="1:5" s="30" customFormat="1" x14ac:dyDescent="0.25">
      <c r="A44" s="223" t="s">
        <v>0</v>
      </c>
      <c r="B44" s="208" t="s">
        <v>141</v>
      </c>
      <c r="C44" s="207">
        <v>3</v>
      </c>
      <c r="D44" s="208"/>
      <c r="E44" s="209">
        <v>0</v>
      </c>
    </row>
    <row r="45" spans="1:5" s="30" customFormat="1" x14ac:dyDescent="0.25">
      <c r="A45" s="224" t="s">
        <v>2</v>
      </c>
      <c r="B45" s="214" t="s">
        <v>204</v>
      </c>
      <c r="C45" s="183">
        <v>626.97</v>
      </c>
      <c r="D45" s="56"/>
      <c r="E45" s="78">
        <f>C45-(C45*0.99%)</f>
        <v>620.76</v>
      </c>
    </row>
    <row r="46" spans="1:5" s="30" customFormat="1" x14ac:dyDescent="0.25">
      <c r="A46" s="51" t="s">
        <v>3</v>
      </c>
      <c r="B46" s="52" t="s">
        <v>127</v>
      </c>
      <c r="C46" s="42"/>
      <c r="D46" s="57"/>
      <c r="E46" s="83">
        <v>0</v>
      </c>
    </row>
    <row r="47" spans="1:5" s="30" customFormat="1" ht="45" x14ac:dyDescent="0.25">
      <c r="A47" s="51" t="s">
        <v>5</v>
      </c>
      <c r="B47" s="52" t="s">
        <v>128</v>
      </c>
      <c r="C47" s="243" t="s">
        <v>300</v>
      </c>
      <c r="D47" s="57"/>
      <c r="E47" s="83">
        <f>C13*50%*0.0199*2/12</f>
        <v>2.89</v>
      </c>
    </row>
    <row r="48" spans="1:5" s="30" customFormat="1" x14ac:dyDescent="0.25">
      <c r="A48" s="51" t="s">
        <v>22</v>
      </c>
      <c r="B48" s="52" t="s">
        <v>129</v>
      </c>
      <c r="C48" s="241"/>
      <c r="D48" s="57"/>
      <c r="E48" s="78">
        <v>50.76</v>
      </c>
    </row>
    <row r="49" spans="1:5" s="30" customFormat="1" ht="15.75" customHeight="1" x14ac:dyDescent="0.25">
      <c r="A49" s="371" t="s">
        <v>26</v>
      </c>
      <c r="B49" s="372"/>
      <c r="C49" s="372"/>
      <c r="D49" s="373"/>
      <c r="E49" s="75">
        <f>SUM(E44:E48)</f>
        <v>674.41</v>
      </c>
    </row>
    <row r="50" spans="1:5" s="30" customFormat="1" ht="15.75" customHeight="1" x14ac:dyDescent="0.25">
      <c r="A50" s="368" t="s">
        <v>146</v>
      </c>
      <c r="B50" s="369"/>
      <c r="C50" s="369"/>
      <c r="D50" s="369"/>
      <c r="E50" s="370"/>
    </row>
    <row r="51" spans="1:5" s="30" customFormat="1" ht="15.75" customHeight="1" x14ac:dyDescent="0.25">
      <c r="A51" s="48" t="s">
        <v>137</v>
      </c>
      <c r="B51" s="212" t="s">
        <v>142</v>
      </c>
      <c r="C51" s="59"/>
      <c r="D51" s="59"/>
      <c r="E51" s="84">
        <f>E30</f>
        <v>456.97</v>
      </c>
    </row>
    <row r="52" spans="1:5" s="30" customFormat="1" ht="15.75" customHeight="1" x14ac:dyDescent="0.25">
      <c r="A52" s="48" t="s">
        <v>138</v>
      </c>
      <c r="B52" s="212" t="s">
        <v>143</v>
      </c>
      <c r="C52" s="59"/>
      <c r="D52" s="59"/>
      <c r="E52" s="84">
        <f>E41</f>
        <v>1033.22</v>
      </c>
    </row>
    <row r="53" spans="1:5" s="30" customFormat="1" ht="15.75" customHeight="1" x14ac:dyDescent="0.25">
      <c r="A53" s="48" t="s">
        <v>192</v>
      </c>
      <c r="B53" s="212" t="s">
        <v>144</v>
      </c>
      <c r="C53" s="59"/>
      <c r="D53" s="59"/>
      <c r="E53" s="84">
        <f>E49</f>
        <v>674.41</v>
      </c>
    </row>
    <row r="54" spans="1:5" s="30" customFormat="1" ht="15.75" customHeight="1" x14ac:dyDescent="0.25">
      <c r="A54" s="362" t="s">
        <v>148</v>
      </c>
      <c r="B54" s="363"/>
      <c r="C54" s="363"/>
      <c r="D54" s="364"/>
      <c r="E54" s="80">
        <f>SUM(E51:E53)</f>
        <v>2164.6</v>
      </c>
    </row>
    <row r="55" spans="1:5" s="30" customFormat="1" ht="15.75" customHeight="1" x14ac:dyDescent="0.25">
      <c r="A55" s="356" t="s">
        <v>156</v>
      </c>
      <c r="B55" s="357"/>
      <c r="C55" s="357"/>
      <c r="D55" s="357"/>
      <c r="E55" s="358"/>
    </row>
    <row r="56" spans="1:5" s="30" customFormat="1" ht="30" customHeight="1" x14ac:dyDescent="0.25">
      <c r="A56" s="242" t="s">
        <v>205</v>
      </c>
      <c r="B56" s="225" t="s">
        <v>34</v>
      </c>
      <c r="C56" s="255" t="s">
        <v>189</v>
      </c>
      <c r="D56" s="67"/>
      <c r="E56" s="82" t="s">
        <v>10</v>
      </c>
    </row>
    <row r="57" spans="1:5" s="30" customFormat="1" ht="15.75" customHeight="1" x14ac:dyDescent="0.25">
      <c r="A57" s="51" t="s">
        <v>0</v>
      </c>
      <c r="B57" s="52" t="s">
        <v>35</v>
      </c>
      <c r="C57" s="41">
        <f>E$25</f>
        <v>2350.6799999999998</v>
      </c>
      <c r="D57" s="55">
        <v>4.5999999999999999E-3</v>
      </c>
      <c r="E57" s="74">
        <f>C57*D57</f>
        <v>10.81</v>
      </c>
    </row>
    <row r="58" spans="1:5" s="30" customFormat="1" ht="15.75" customHeight="1" x14ac:dyDescent="0.25">
      <c r="A58" s="51" t="s">
        <v>2</v>
      </c>
      <c r="B58" s="52" t="s">
        <v>36</v>
      </c>
      <c r="C58" s="41">
        <f t="shared" ref="C58:C61" si="2">E$25</f>
        <v>2350.6799999999998</v>
      </c>
      <c r="D58" s="55">
        <v>4.0000000000000002E-4</v>
      </c>
      <c r="E58" s="74">
        <f>C58*D58</f>
        <v>0.94</v>
      </c>
    </row>
    <row r="59" spans="1:5" s="30" customFormat="1" ht="15.75" customHeight="1" x14ac:dyDescent="0.25">
      <c r="A59" s="51" t="s">
        <v>3</v>
      </c>
      <c r="B59" s="52" t="s">
        <v>37</v>
      </c>
      <c r="C59" s="41">
        <f t="shared" si="2"/>
        <v>2350.6799999999998</v>
      </c>
      <c r="D59" s="55">
        <v>1.9400000000000001E-2</v>
      </c>
      <c r="E59" s="74">
        <f>C59*D59</f>
        <v>45.6</v>
      </c>
    </row>
    <row r="60" spans="1:5" s="30" customFormat="1" ht="30" customHeight="1" x14ac:dyDescent="0.25">
      <c r="A60" s="51" t="s">
        <v>5</v>
      </c>
      <c r="B60" s="88" t="s">
        <v>301</v>
      </c>
      <c r="C60" s="41">
        <f t="shared" si="2"/>
        <v>2350.6799999999998</v>
      </c>
      <c r="D60" s="55">
        <v>7.7000000000000002E-3</v>
      </c>
      <c r="E60" s="74">
        <f>C60*D60</f>
        <v>18.100000000000001</v>
      </c>
    </row>
    <row r="61" spans="1:5" s="30" customFormat="1" ht="32.25" customHeight="1" x14ac:dyDescent="0.25">
      <c r="A61" s="51" t="s">
        <v>22</v>
      </c>
      <c r="B61" s="52" t="s">
        <v>178</v>
      </c>
      <c r="C61" s="41">
        <f t="shared" si="2"/>
        <v>2350.6799999999998</v>
      </c>
      <c r="D61" s="55">
        <v>0.04</v>
      </c>
      <c r="E61" s="74">
        <f>C61*D61</f>
        <v>94.03</v>
      </c>
    </row>
    <row r="62" spans="1:5" s="30" customFormat="1" x14ac:dyDescent="0.25">
      <c r="A62" s="365" t="s">
        <v>149</v>
      </c>
      <c r="B62" s="366"/>
      <c r="C62" s="366"/>
      <c r="D62" s="104">
        <f>SUM(D57:D61)</f>
        <v>7.2099999999999997E-2</v>
      </c>
      <c r="E62" s="100">
        <f>SUM(E57:E61)</f>
        <v>169.48</v>
      </c>
    </row>
    <row r="63" spans="1:5" s="30" customFormat="1" ht="15.75" customHeight="1" x14ac:dyDescent="0.25">
      <c r="A63" s="356" t="s">
        <v>157</v>
      </c>
      <c r="B63" s="357"/>
      <c r="C63" s="357"/>
      <c r="D63" s="357"/>
      <c r="E63" s="358"/>
    </row>
    <row r="64" spans="1:5" s="30" customFormat="1" ht="30" customHeight="1" x14ac:dyDescent="0.25">
      <c r="A64" s="242" t="s">
        <v>28</v>
      </c>
      <c r="B64" s="60" t="s">
        <v>206</v>
      </c>
      <c r="C64" s="255" t="s">
        <v>189</v>
      </c>
      <c r="D64" s="85"/>
      <c r="E64" s="82" t="s">
        <v>10</v>
      </c>
    </row>
    <row r="65" spans="1:5" s="30" customFormat="1" x14ac:dyDescent="0.25">
      <c r="A65" s="51" t="s">
        <v>0</v>
      </c>
      <c r="B65" s="52" t="s">
        <v>179</v>
      </c>
      <c r="C65" s="43">
        <f>E$25+E$54+E$62+E85</f>
        <v>4725.29</v>
      </c>
      <c r="D65" s="55">
        <f>D29/12</f>
        <v>9.2999999999999992E-3</v>
      </c>
      <c r="E65" s="74">
        <f t="shared" ref="E65:E71" si="3">C65*D65</f>
        <v>43.95</v>
      </c>
    </row>
    <row r="66" spans="1:5" s="30" customFormat="1" x14ac:dyDescent="0.25">
      <c r="A66" s="51" t="s">
        <v>2</v>
      </c>
      <c r="B66" s="52" t="s">
        <v>180</v>
      </c>
      <c r="C66" s="43">
        <f>E$25+E$54+E$62+E85</f>
        <v>4725.29</v>
      </c>
      <c r="D66" s="55">
        <v>1.3899999999999999E-2</v>
      </c>
      <c r="E66" s="74">
        <f t="shared" si="3"/>
        <v>65.680000000000007</v>
      </c>
    </row>
    <row r="67" spans="1:5" s="30" customFormat="1" x14ac:dyDescent="0.25">
      <c r="A67" s="51" t="s">
        <v>3</v>
      </c>
      <c r="B67" s="52" t="s">
        <v>183</v>
      </c>
      <c r="C67" s="43">
        <f>E$25+E$54+E$62+E85</f>
        <v>4725.29</v>
      </c>
      <c r="D67" s="55">
        <v>1.2999999999999999E-3</v>
      </c>
      <c r="E67" s="74">
        <f t="shared" si="3"/>
        <v>6.14</v>
      </c>
    </row>
    <row r="68" spans="1:5" s="30" customFormat="1" x14ac:dyDescent="0.25">
      <c r="A68" s="51" t="s">
        <v>5</v>
      </c>
      <c r="B68" s="52" t="s">
        <v>181</v>
      </c>
      <c r="C68" s="43">
        <f>E$25+E$54+E$62+E85</f>
        <v>4725.29</v>
      </c>
      <c r="D68" s="55">
        <v>2.0000000000000001E-4</v>
      </c>
      <c r="E68" s="74">
        <f t="shared" si="3"/>
        <v>0.95</v>
      </c>
    </row>
    <row r="69" spans="1:5" s="30" customFormat="1" x14ac:dyDescent="0.25">
      <c r="A69" s="51" t="s">
        <v>22</v>
      </c>
      <c r="B69" s="52" t="s">
        <v>302</v>
      </c>
      <c r="C69" s="43">
        <f>E$25+E$54+E$62+E85</f>
        <v>4725.29</v>
      </c>
      <c r="D69" s="55">
        <v>2.8E-3</v>
      </c>
      <c r="E69" s="74">
        <f t="shared" si="3"/>
        <v>13.23</v>
      </c>
    </row>
    <row r="70" spans="1:5" s="30" customFormat="1" x14ac:dyDescent="0.25">
      <c r="A70" s="51" t="s">
        <v>24</v>
      </c>
      <c r="B70" s="52" t="s">
        <v>182</v>
      </c>
      <c r="C70" s="43">
        <f>E$25+E$54+E$62+E85</f>
        <v>4725.29</v>
      </c>
      <c r="D70" s="55">
        <v>2.9999999999999997E-4</v>
      </c>
      <c r="E70" s="74">
        <f t="shared" ref="E70" si="4">C70*D70</f>
        <v>1.42</v>
      </c>
    </row>
    <row r="71" spans="1:5" s="30" customFormat="1" x14ac:dyDescent="0.25">
      <c r="A71" s="51" t="s">
        <v>25</v>
      </c>
      <c r="B71" s="89" t="s">
        <v>184</v>
      </c>
      <c r="C71" s="43">
        <f>E$25+E$54+E$62+E85</f>
        <v>4725.29</v>
      </c>
      <c r="D71" s="55">
        <v>0</v>
      </c>
      <c r="E71" s="74">
        <f t="shared" si="3"/>
        <v>0</v>
      </c>
    </row>
    <row r="72" spans="1:5" s="30" customFormat="1" ht="15.75" customHeight="1" x14ac:dyDescent="0.25">
      <c r="A72" s="371" t="s">
        <v>185</v>
      </c>
      <c r="B72" s="372"/>
      <c r="C72" s="373"/>
      <c r="D72" s="86">
        <f>SUM(D65:D71)</f>
        <v>2.7799999999999998E-2</v>
      </c>
      <c r="E72" s="75">
        <f>SUM(E65:E71)</f>
        <v>131.37</v>
      </c>
    </row>
    <row r="73" spans="1:5" s="30" customFormat="1" ht="15.75" customHeight="1" x14ac:dyDescent="0.25">
      <c r="A73" s="368" t="s">
        <v>186</v>
      </c>
      <c r="B73" s="369"/>
      <c r="C73" s="369"/>
      <c r="D73" s="369"/>
      <c r="E73" s="370"/>
    </row>
    <row r="74" spans="1:5" s="30" customFormat="1" x14ac:dyDescent="0.25">
      <c r="A74" s="242"/>
      <c r="B74" s="443" t="s">
        <v>186</v>
      </c>
      <c r="C74" s="444"/>
      <c r="D74" s="88"/>
      <c r="E74" s="82" t="s">
        <v>10</v>
      </c>
    </row>
    <row r="75" spans="1:5" s="30" customFormat="1" ht="15.75" customHeight="1" x14ac:dyDescent="0.25">
      <c r="A75" s="51" t="s">
        <v>0</v>
      </c>
      <c r="B75" s="381" t="s">
        <v>187</v>
      </c>
      <c r="C75" s="383"/>
      <c r="D75" s="55">
        <v>0</v>
      </c>
      <c r="E75" s="74">
        <f>(E$25+E$54+E$62)*D75</f>
        <v>0</v>
      </c>
    </row>
    <row r="76" spans="1:5" s="30" customFormat="1" ht="15.75" customHeight="1" x14ac:dyDescent="0.25">
      <c r="A76" s="371" t="s">
        <v>188</v>
      </c>
      <c r="B76" s="372"/>
      <c r="C76" s="373"/>
      <c r="D76" s="76">
        <f>SUM(D75:D75)</f>
        <v>0</v>
      </c>
      <c r="E76" s="75">
        <f>SUM(E75:E75)</f>
        <v>0</v>
      </c>
    </row>
    <row r="77" spans="1:5" s="30" customFormat="1" ht="15.75" customHeight="1" x14ac:dyDescent="0.25">
      <c r="A77" s="435" t="s">
        <v>207</v>
      </c>
      <c r="B77" s="436"/>
      <c r="C77" s="436"/>
      <c r="D77" s="436"/>
      <c r="E77" s="437"/>
    </row>
    <row r="78" spans="1:5" s="30" customFormat="1" ht="15.75" customHeight="1" x14ac:dyDescent="0.25">
      <c r="A78" s="242">
        <v>4</v>
      </c>
      <c r="B78" s="136" t="s">
        <v>208</v>
      </c>
      <c r="C78" s="97"/>
      <c r="D78" s="98"/>
      <c r="E78" s="82" t="s">
        <v>10</v>
      </c>
    </row>
    <row r="79" spans="1:5" s="30" customFormat="1" ht="15.75" customHeight="1" x14ac:dyDescent="0.25">
      <c r="A79" s="51" t="s">
        <v>28</v>
      </c>
      <c r="B79" s="62" t="s">
        <v>206</v>
      </c>
      <c r="C79" s="52"/>
      <c r="D79" s="55">
        <f>D72</f>
        <v>2.7799999999999998E-2</v>
      </c>
      <c r="E79" s="74">
        <f>E72</f>
        <v>131.37</v>
      </c>
    </row>
    <row r="80" spans="1:5" s="30" customFormat="1" ht="15.75" customHeight="1" x14ac:dyDescent="0.25">
      <c r="A80" s="51" t="s">
        <v>32</v>
      </c>
      <c r="B80" s="62" t="s">
        <v>186</v>
      </c>
      <c r="C80" s="52"/>
      <c r="D80" s="55">
        <v>0</v>
      </c>
      <c r="E80" s="74">
        <f>(D$25+D$53+D$61)*D80</f>
        <v>0</v>
      </c>
    </row>
    <row r="81" spans="1:5" s="30" customFormat="1" ht="15.75" customHeight="1" x14ac:dyDescent="0.25">
      <c r="A81" s="371" t="s">
        <v>31</v>
      </c>
      <c r="B81" s="372"/>
      <c r="C81" s="373"/>
      <c r="D81" s="76">
        <f>SUM(D79:D80)</f>
        <v>2.7799999999999998E-2</v>
      </c>
      <c r="E81" s="75">
        <f>SUM(E79:E80)</f>
        <v>131.37</v>
      </c>
    </row>
    <row r="82" spans="1:5" s="30" customFormat="1" ht="15.75" customHeight="1" x14ac:dyDescent="0.25">
      <c r="A82" s="362" t="s">
        <v>150</v>
      </c>
      <c r="B82" s="363"/>
      <c r="C82" s="363"/>
      <c r="D82" s="364"/>
      <c r="E82" s="87">
        <f>SUM(E72+E76)</f>
        <v>131.37</v>
      </c>
    </row>
    <row r="83" spans="1:5" s="30" customFormat="1" ht="15.75" customHeight="1" x14ac:dyDescent="0.25">
      <c r="A83" s="356" t="s">
        <v>158</v>
      </c>
      <c r="B83" s="357"/>
      <c r="C83" s="357"/>
      <c r="D83" s="357"/>
      <c r="E83" s="358"/>
    </row>
    <row r="84" spans="1:5" s="30" customFormat="1" ht="15.75" customHeight="1" x14ac:dyDescent="0.25">
      <c r="A84" s="242">
        <v>5</v>
      </c>
      <c r="B84" s="50" t="s">
        <v>27</v>
      </c>
      <c r="C84" s="225"/>
      <c r="D84" s="225"/>
      <c r="E84" s="82" t="s">
        <v>10</v>
      </c>
    </row>
    <row r="85" spans="1:5" s="30" customFormat="1" ht="15.75" customHeight="1" x14ac:dyDescent="0.25">
      <c r="A85" s="224" t="s">
        <v>0</v>
      </c>
      <c r="B85" s="226" t="s">
        <v>209</v>
      </c>
      <c r="C85" s="214"/>
      <c r="D85" s="214"/>
      <c r="E85" s="74">
        <f>'Uniformes '!H10</f>
        <v>40.53</v>
      </c>
    </row>
    <row r="86" spans="1:5" s="30" customFormat="1" ht="15.75" customHeight="1" x14ac:dyDescent="0.25">
      <c r="A86" s="224" t="s">
        <v>2</v>
      </c>
      <c r="B86" s="226" t="s">
        <v>210</v>
      </c>
      <c r="C86" s="214"/>
      <c r="D86" s="214"/>
      <c r="E86" s="74">
        <f>'Material de Limpeza'!H51</f>
        <v>1081.1300000000001</v>
      </c>
    </row>
    <row r="87" spans="1:5" s="30" customFormat="1" ht="15.75" customHeight="1" x14ac:dyDescent="0.25">
      <c r="A87" s="224" t="s">
        <v>3</v>
      </c>
      <c r="B87" s="226" t="s">
        <v>193</v>
      </c>
      <c r="C87" s="214"/>
      <c r="D87" s="214"/>
      <c r="E87" s="74">
        <f>Equipamentos!H25</f>
        <v>109.89</v>
      </c>
    </row>
    <row r="88" spans="1:5" s="30" customFormat="1" ht="15.75" customHeight="1" x14ac:dyDescent="0.25">
      <c r="A88" s="224" t="s">
        <v>5</v>
      </c>
      <c r="B88" s="226" t="s">
        <v>130</v>
      </c>
      <c r="C88" s="214"/>
      <c r="D88" s="214"/>
      <c r="E88" s="74">
        <v>0</v>
      </c>
    </row>
    <row r="89" spans="1:5" s="30" customFormat="1" ht="15.75" customHeight="1" x14ac:dyDescent="0.25">
      <c r="A89" s="365" t="s">
        <v>151</v>
      </c>
      <c r="B89" s="366"/>
      <c r="C89" s="366"/>
      <c r="D89" s="367"/>
      <c r="E89" s="80">
        <f>SUM(E85:E88)</f>
        <v>1231.55</v>
      </c>
    </row>
    <row r="90" spans="1:5" s="30" customFormat="1" ht="23.25" customHeight="1" x14ac:dyDescent="0.25">
      <c r="A90" s="359" t="s">
        <v>211</v>
      </c>
      <c r="B90" s="360"/>
      <c r="C90" s="360"/>
      <c r="D90" s="361"/>
      <c r="E90" s="96">
        <f>E89+E82+E62+E54+E25</f>
        <v>6047.68</v>
      </c>
    </row>
    <row r="91" spans="1:5" s="30" customFormat="1" ht="19.5" customHeight="1" x14ac:dyDescent="0.25">
      <c r="A91" s="356" t="s">
        <v>159</v>
      </c>
      <c r="B91" s="357"/>
      <c r="C91" s="357"/>
      <c r="D91" s="357"/>
      <c r="E91" s="358"/>
    </row>
    <row r="92" spans="1:5" s="30" customFormat="1" ht="30" customHeight="1" x14ac:dyDescent="0.25">
      <c r="A92" s="244">
        <v>6</v>
      </c>
      <c r="B92" s="225" t="s">
        <v>38</v>
      </c>
      <c r="C92" s="40" t="s">
        <v>189</v>
      </c>
      <c r="D92" s="40"/>
      <c r="E92" s="82" t="s">
        <v>10</v>
      </c>
    </row>
    <row r="93" spans="1:5" s="30" customFormat="1" x14ac:dyDescent="0.25">
      <c r="A93" s="51" t="s">
        <v>0</v>
      </c>
      <c r="B93" s="52" t="s">
        <v>39</v>
      </c>
      <c r="C93" s="90">
        <f>E90</f>
        <v>6047.68</v>
      </c>
      <c r="D93" s="55">
        <v>0.05</v>
      </c>
      <c r="E93" s="74">
        <f>C93*D93</f>
        <v>302.38</v>
      </c>
    </row>
    <row r="94" spans="1:5" s="30" customFormat="1" x14ac:dyDescent="0.25">
      <c r="A94" s="51" t="s">
        <v>2</v>
      </c>
      <c r="B94" s="52" t="s">
        <v>40</v>
      </c>
      <c r="C94" s="90">
        <f>E90+E93</f>
        <v>6350.06</v>
      </c>
      <c r="D94" s="55">
        <v>0.1</v>
      </c>
      <c r="E94" s="74">
        <f>D94*C94</f>
        <v>635.01</v>
      </c>
    </row>
    <row r="95" spans="1:5" s="30" customFormat="1" ht="30.75" customHeight="1" x14ac:dyDescent="0.25">
      <c r="A95" s="51"/>
      <c r="B95" s="62" t="s">
        <v>212</v>
      </c>
      <c r="C95" s="52"/>
      <c r="D95" s="55">
        <f>1-D102</f>
        <v>0.85750000000000004</v>
      </c>
      <c r="E95" s="74">
        <f>+E90+E93+E94</f>
        <v>6985.07</v>
      </c>
    </row>
    <row r="96" spans="1:5" s="30" customFormat="1" x14ac:dyDescent="0.25">
      <c r="A96" s="51"/>
      <c r="B96" s="89"/>
      <c r="C96" s="54"/>
      <c r="D96" s="241"/>
      <c r="E96" s="102">
        <f>+E95/D95</f>
        <v>8145.85</v>
      </c>
    </row>
    <row r="97" spans="1:5" s="30" customFormat="1" x14ac:dyDescent="0.25">
      <c r="A97" s="51" t="s">
        <v>3</v>
      </c>
      <c r="B97" s="89" t="s">
        <v>41</v>
      </c>
      <c r="C97" s="54"/>
      <c r="D97" s="247">
        <f>D99+D100+D101</f>
        <v>0.14249999999999999</v>
      </c>
      <c r="E97" s="102"/>
    </row>
    <row r="98" spans="1:5" s="30" customFormat="1" x14ac:dyDescent="0.25">
      <c r="A98" s="51" t="s">
        <v>307</v>
      </c>
      <c r="B98" s="89" t="s">
        <v>303</v>
      </c>
      <c r="C98" s="89"/>
      <c r="D98" s="247">
        <f>D99+D100</f>
        <v>9.2499999999999999E-2</v>
      </c>
      <c r="E98" s="74"/>
    </row>
    <row r="99" spans="1:5" s="30" customFormat="1" x14ac:dyDescent="0.25">
      <c r="A99" s="51" t="s">
        <v>308</v>
      </c>
      <c r="B99" s="52" t="s">
        <v>304</v>
      </c>
      <c r="C99" s="69">
        <f>E96</f>
        <v>8145.85</v>
      </c>
      <c r="D99" s="55">
        <v>1.6500000000000001E-2</v>
      </c>
      <c r="E99" s="74">
        <f>C99*D99</f>
        <v>134.41</v>
      </c>
    </row>
    <row r="100" spans="1:5" s="30" customFormat="1" x14ac:dyDescent="0.25">
      <c r="A100" s="51" t="s">
        <v>309</v>
      </c>
      <c r="B100" s="52" t="s">
        <v>305</v>
      </c>
      <c r="C100" s="69">
        <f>E96</f>
        <v>8145.85</v>
      </c>
      <c r="D100" s="55">
        <v>7.5999999999999998E-2</v>
      </c>
      <c r="E100" s="74">
        <f>C100*D100</f>
        <v>619.08000000000004</v>
      </c>
    </row>
    <row r="101" spans="1:5" s="30" customFormat="1" ht="16.5" thickBot="1" x14ac:dyDescent="0.3">
      <c r="A101" s="249" t="s">
        <v>310</v>
      </c>
      <c r="B101" s="246" t="s">
        <v>306</v>
      </c>
      <c r="C101" s="70">
        <f>E96</f>
        <v>8145.85</v>
      </c>
      <c r="D101" s="91">
        <v>0.05</v>
      </c>
      <c r="E101" s="103">
        <f>C101*D101</f>
        <v>407.29</v>
      </c>
    </row>
    <row r="102" spans="1:5" s="30" customFormat="1" ht="16.5" thickBot="1" x14ac:dyDescent="0.3">
      <c r="A102" s="63"/>
      <c r="B102" s="354" t="s">
        <v>42</v>
      </c>
      <c r="C102" s="355"/>
      <c r="D102" s="248">
        <f>D97</f>
        <v>0.14249999999999999</v>
      </c>
      <c r="E102" s="101">
        <f>SUM(E99:E101)</f>
        <v>1160.78</v>
      </c>
    </row>
    <row r="103" spans="1:5" s="30" customFormat="1" ht="15.75" customHeight="1" x14ac:dyDescent="0.25">
      <c r="A103" s="375" t="s">
        <v>43</v>
      </c>
      <c r="B103" s="376"/>
      <c r="C103" s="376"/>
      <c r="D103" s="377"/>
      <c r="E103" s="92">
        <f>+E93+E94+E102</f>
        <v>2098.17</v>
      </c>
    </row>
    <row r="104" spans="1:5" s="30" customFormat="1" ht="15.75" customHeight="1" x14ac:dyDescent="0.25">
      <c r="A104" s="378" t="s">
        <v>44</v>
      </c>
      <c r="B104" s="379"/>
      <c r="C104" s="379"/>
      <c r="D104" s="380"/>
      <c r="E104" s="93" t="s">
        <v>10</v>
      </c>
    </row>
    <row r="105" spans="1:5" s="30" customFormat="1" x14ac:dyDescent="0.25">
      <c r="A105" s="51" t="s">
        <v>0</v>
      </c>
      <c r="B105" s="381" t="s">
        <v>45</v>
      </c>
      <c r="C105" s="382"/>
      <c r="D105" s="383"/>
      <c r="E105" s="74">
        <f>+E25</f>
        <v>2350.6799999999998</v>
      </c>
    </row>
    <row r="106" spans="1:5" s="30" customFormat="1" x14ac:dyDescent="0.25">
      <c r="A106" s="51" t="s">
        <v>2</v>
      </c>
      <c r="B106" s="381" t="s">
        <v>154</v>
      </c>
      <c r="C106" s="382"/>
      <c r="D106" s="383"/>
      <c r="E106" s="74">
        <f>+E54</f>
        <v>2164.6</v>
      </c>
    </row>
    <row r="107" spans="1:5" s="30" customFormat="1" x14ac:dyDescent="0.25">
      <c r="A107" s="51" t="s">
        <v>3</v>
      </c>
      <c r="B107" s="381" t="s">
        <v>152</v>
      </c>
      <c r="C107" s="382"/>
      <c r="D107" s="383"/>
      <c r="E107" s="74">
        <f>E62</f>
        <v>169.48</v>
      </c>
    </row>
    <row r="108" spans="1:5" s="30" customFormat="1" x14ac:dyDescent="0.25">
      <c r="A108" s="51" t="s">
        <v>5</v>
      </c>
      <c r="B108" s="381" t="s">
        <v>145</v>
      </c>
      <c r="C108" s="382"/>
      <c r="D108" s="383"/>
      <c r="E108" s="74">
        <f>E82</f>
        <v>131.37</v>
      </c>
    </row>
    <row r="109" spans="1:5" s="30" customFormat="1" x14ac:dyDescent="0.25">
      <c r="A109" s="51" t="s">
        <v>22</v>
      </c>
      <c r="B109" s="381" t="s">
        <v>153</v>
      </c>
      <c r="C109" s="382"/>
      <c r="D109" s="383"/>
      <c r="E109" s="74">
        <f>E89</f>
        <v>1231.55</v>
      </c>
    </row>
    <row r="110" spans="1:5" s="30" customFormat="1" ht="15.75" customHeight="1" x14ac:dyDescent="0.25">
      <c r="A110" s="384" t="s">
        <v>311</v>
      </c>
      <c r="B110" s="385"/>
      <c r="C110" s="385"/>
      <c r="D110" s="386"/>
      <c r="E110" s="94">
        <f>SUM(E105:E109)</f>
        <v>6047.68</v>
      </c>
    </row>
    <row r="111" spans="1:5" s="30" customFormat="1" x14ac:dyDescent="0.25">
      <c r="A111" s="51" t="s">
        <v>24</v>
      </c>
      <c r="B111" s="381" t="s">
        <v>155</v>
      </c>
      <c r="C111" s="382"/>
      <c r="D111" s="383"/>
      <c r="E111" s="74">
        <f>+E103</f>
        <v>2098.17</v>
      </c>
    </row>
    <row r="112" spans="1:5" s="30" customFormat="1" ht="16.5" customHeight="1" thickBot="1" x14ac:dyDescent="0.3">
      <c r="A112" s="387" t="s">
        <v>46</v>
      </c>
      <c r="B112" s="388"/>
      <c r="C112" s="388"/>
      <c r="D112" s="389"/>
      <c r="E112" s="95">
        <f>+E110+E111</f>
        <v>8145.85</v>
      </c>
    </row>
    <row r="113" spans="2:5" x14ac:dyDescent="0.25">
      <c r="D113" s="31"/>
      <c r="E113" s="33"/>
    </row>
    <row r="114" spans="2:5" x14ac:dyDescent="0.25">
      <c r="B114" s="28"/>
      <c r="C114" s="28"/>
      <c r="D114" s="31"/>
      <c r="E114" s="34"/>
    </row>
    <row r="115" spans="2:5" x14ac:dyDescent="0.25">
      <c r="B115" s="28"/>
      <c r="C115" s="28"/>
      <c r="D115" s="31"/>
      <c r="E115" s="34" t="s">
        <v>125</v>
      </c>
    </row>
    <row r="116" spans="2:5" x14ac:dyDescent="0.25">
      <c r="B116" s="28"/>
      <c r="C116" s="374"/>
      <c r="D116" s="374"/>
      <c r="E116" s="374"/>
    </row>
    <row r="117" spans="2:5" x14ac:dyDescent="0.25">
      <c r="B117" s="28"/>
      <c r="C117" s="28"/>
      <c r="D117" s="31"/>
      <c r="E117" s="35"/>
    </row>
    <row r="119" spans="2:5" x14ac:dyDescent="0.25">
      <c r="B119" s="36"/>
    </row>
    <row r="124" spans="2:5" x14ac:dyDescent="0.25">
      <c r="B124" s="28"/>
      <c r="C124" s="28"/>
    </row>
  </sheetData>
  <mergeCells count="60">
    <mergeCell ref="A41:C41"/>
    <mergeCell ref="A63:E63"/>
    <mergeCell ref="A77:E77"/>
    <mergeCell ref="A81:C81"/>
    <mergeCell ref="C20:D20"/>
    <mergeCell ref="A26:E26"/>
    <mergeCell ref="A42:E42"/>
    <mergeCell ref="C24:D24"/>
    <mergeCell ref="A31:E31"/>
    <mergeCell ref="A49:D49"/>
    <mergeCell ref="A72:C72"/>
    <mergeCell ref="A50:E50"/>
    <mergeCell ref="B74:C74"/>
    <mergeCell ref="B75:C75"/>
    <mergeCell ref="A30:C30"/>
    <mergeCell ref="C21:D21"/>
    <mergeCell ref="A1:E1"/>
    <mergeCell ref="A16:E16"/>
    <mergeCell ref="C7:E7"/>
    <mergeCell ref="A8:E8"/>
    <mergeCell ref="A9:E9"/>
    <mergeCell ref="C14:E14"/>
    <mergeCell ref="A11:D11"/>
    <mergeCell ref="C12:E12"/>
    <mergeCell ref="C15:E15"/>
    <mergeCell ref="C13:E13"/>
    <mergeCell ref="A2:E2"/>
    <mergeCell ref="C4:E4"/>
    <mergeCell ref="C5:E5"/>
    <mergeCell ref="C6:E6"/>
    <mergeCell ref="A3:E3"/>
    <mergeCell ref="C22:D22"/>
    <mergeCell ref="C23:D23"/>
    <mergeCell ref="A25:D25"/>
    <mergeCell ref="B17:D17"/>
    <mergeCell ref="A10:E10"/>
    <mergeCell ref="C18:D18"/>
    <mergeCell ref="C19:D19"/>
    <mergeCell ref="C116:E116"/>
    <mergeCell ref="A103:D103"/>
    <mergeCell ref="A104:D104"/>
    <mergeCell ref="B107:D107"/>
    <mergeCell ref="B111:D111"/>
    <mergeCell ref="B105:D105"/>
    <mergeCell ref="B106:D106"/>
    <mergeCell ref="A110:D110"/>
    <mergeCell ref="B108:D108"/>
    <mergeCell ref="B109:D109"/>
    <mergeCell ref="A112:D112"/>
    <mergeCell ref="B102:C102"/>
    <mergeCell ref="A91:E91"/>
    <mergeCell ref="A90:D90"/>
    <mergeCell ref="A54:D54"/>
    <mergeCell ref="A55:E55"/>
    <mergeCell ref="A62:C62"/>
    <mergeCell ref="A82:D82"/>
    <mergeCell ref="A89:D89"/>
    <mergeCell ref="A73:E73"/>
    <mergeCell ref="A76:C76"/>
    <mergeCell ref="A83:E83"/>
  </mergeCells>
  <hyperlinks>
    <hyperlink ref="B38" r:id="rId1" display="08 - Sebrae 0,3% ou 0,6% - IN nº 03, MPS/SRP/2005, Anexo II e III ver código da Tabela"/>
  </hyperlinks>
  <pageMargins left="0.7" right="0.7" top="0.75" bottom="0.75" header="0.3" footer="0.3"/>
  <pageSetup paperSize="9" scale="36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5" zoomScaleNormal="115" zoomScaleSheetLayoutView="100" workbookViewId="0">
      <selection activeCell="B11" sqref="B11"/>
    </sheetView>
  </sheetViews>
  <sheetFormatPr defaultColWidth="9.140625" defaultRowHeight="15.75" x14ac:dyDescent="0.25"/>
  <cols>
    <col min="1" max="1" width="8.7109375" style="29" customWidth="1"/>
    <col min="2" max="2" width="70.7109375" style="31" customWidth="1"/>
    <col min="3" max="3" width="12.7109375" style="31" customWidth="1"/>
    <col min="4" max="4" width="8.7109375" style="32" customWidth="1"/>
    <col min="5" max="5" width="12.7109375" style="37" customWidth="1"/>
    <col min="6" max="16384" width="9.140625" style="28"/>
  </cols>
  <sheetData>
    <row r="1" spans="1:5" x14ac:dyDescent="0.25">
      <c r="A1" s="402"/>
      <c r="B1" s="403"/>
      <c r="C1" s="403"/>
      <c r="D1" s="403"/>
      <c r="E1" s="404"/>
    </row>
    <row r="2" spans="1:5" s="38" customFormat="1" ht="16.5" customHeight="1" thickBot="1" x14ac:dyDescent="0.3">
      <c r="A2" s="426"/>
      <c r="B2" s="427"/>
      <c r="C2" s="427"/>
      <c r="D2" s="427"/>
      <c r="E2" s="428"/>
    </row>
    <row r="3" spans="1:5" s="38" customFormat="1" x14ac:dyDescent="0.25">
      <c r="A3" s="432" t="s">
        <v>125</v>
      </c>
      <c r="B3" s="433"/>
      <c r="C3" s="433"/>
      <c r="D3" s="433"/>
      <c r="E3" s="434"/>
    </row>
    <row r="4" spans="1:5" s="38" customFormat="1" ht="15" customHeight="1" x14ac:dyDescent="0.25">
      <c r="A4" s="44" t="s">
        <v>0</v>
      </c>
      <c r="B4" s="45" t="s">
        <v>1</v>
      </c>
      <c r="C4" s="429">
        <v>2025</v>
      </c>
      <c r="D4" s="430"/>
      <c r="E4" s="431"/>
    </row>
    <row r="5" spans="1:5" s="38" customFormat="1" ht="99.95" customHeight="1" x14ac:dyDescent="0.25">
      <c r="A5" s="44" t="s">
        <v>2</v>
      </c>
      <c r="B5" s="45" t="s">
        <v>134</v>
      </c>
      <c r="C5" s="405" t="s">
        <v>214</v>
      </c>
      <c r="D5" s="406"/>
      <c r="E5" s="407"/>
    </row>
    <row r="6" spans="1:5" s="38" customFormat="1" ht="15.75" customHeight="1" x14ac:dyDescent="0.25">
      <c r="A6" s="44" t="s">
        <v>3</v>
      </c>
      <c r="B6" s="45" t="s">
        <v>4</v>
      </c>
      <c r="C6" s="405" t="s">
        <v>298</v>
      </c>
      <c r="D6" s="406"/>
      <c r="E6" s="407"/>
    </row>
    <row r="7" spans="1:5" s="38" customFormat="1" x14ac:dyDescent="0.25">
      <c r="A7" s="44"/>
      <c r="B7" s="45" t="s">
        <v>194</v>
      </c>
      <c r="C7" s="405">
        <v>12</v>
      </c>
      <c r="D7" s="406"/>
      <c r="E7" s="407"/>
    </row>
    <row r="8" spans="1:5" s="38" customFormat="1" x14ac:dyDescent="0.25">
      <c r="A8" s="408" t="s">
        <v>6</v>
      </c>
      <c r="B8" s="409"/>
      <c r="C8" s="409"/>
      <c r="D8" s="409"/>
      <c r="E8" s="410"/>
    </row>
    <row r="9" spans="1:5" s="38" customFormat="1" x14ac:dyDescent="0.25">
      <c r="A9" s="411" t="s">
        <v>7</v>
      </c>
      <c r="B9" s="412"/>
      <c r="C9" s="412"/>
      <c r="D9" s="412"/>
      <c r="E9" s="413"/>
    </row>
    <row r="10" spans="1:5" s="38" customFormat="1" ht="15.75" customHeight="1" x14ac:dyDescent="0.25">
      <c r="A10" s="397" t="s">
        <v>8</v>
      </c>
      <c r="B10" s="398"/>
      <c r="C10" s="398"/>
      <c r="D10" s="398"/>
      <c r="E10" s="399"/>
    </row>
    <row r="11" spans="1:5" s="38" customFormat="1" ht="30" customHeight="1" x14ac:dyDescent="0.25">
      <c r="A11" s="417" t="s">
        <v>9</v>
      </c>
      <c r="B11" s="418"/>
      <c r="C11" s="418"/>
      <c r="D11" s="419"/>
      <c r="E11" s="137" t="s">
        <v>10</v>
      </c>
    </row>
    <row r="12" spans="1:5" s="38" customFormat="1" ht="15.75" customHeight="1" x14ac:dyDescent="0.25">
      <c r="A12" s="44">
        <v>1</v>
      </c>
      <c r="B12" s="46" t="s">
        <v>126</v>
      </c>
      <c r="C12" s="414" t="s">
        <v>217</v>
      </c>
      <c r="D12" s="415"/>
      <c r="E12" s="416"/>
    </row>
    <row r="13" spans="1:5" s="38" customFormat="1" ht="30" customHeight="1" x14ac:dyDescent="0.25">
      <c r="A13" s="44">
        <v>2</v>
      </c>
      <c r="B13" s="46" t="s">
        <v>11</v>
      </c>
      <c r="C13" s="423">
        <v>1743.48</v>
      </c>
      <c r="D13" s="424"/>
      <c r="E13" s="425"/>
    </row>
    <row r="14" spans="1:5" s="38" customFormat="1" ht="15.75" customHeight="1" x14ac:dyDescent="0.25">
      <c r="A14" s="44">
        <v>3</v>
      </c>
      <c r="B14" s="46" t="s">
        <v>12</v>
      </c>
      <c r="C14" s="414" t="s">
        <v>216</v>
      </c>
      <c r="D14" s="415"/>
      <c r="E14" s="416"/>
    </row>
    <row r="15" spans="1:5" s="38" customFormat="1" x14ac:dyDescent="0.25">
      <c r="A15" s="44">
        <v>4</v>
      </c>
      <c r="B15" s="47" t="s">
        <v>13</v>
      </c>
      <c r="C15" s="420">
        <v>45673</v>
      </c>
      <c r="D15" s="421"/>
      <c r="E15" s="422"/>
    </row>
    <row r="16" spans="1:5" s="39" customFormat="1" x14ac:dyDescent="0.25">
      <c r="A16" s="356" t="s">
        <v>14</v>
      </c>
      <c r="B16" s="357"/>
      <c r="C16" s="357"/>
      <c r="D16" s="357"/>
      <c r="E16" s="358"/>
    </row>
    <row r="17" spans="1:5" s="39" customFormat="1" x14ac:dyDescent="0.25">
      <c r="A17" s="48">
        <v>1</v>
      </c>
      <c r="B17" s="394" t="s">
        <v>15</v>
      </c>
      <c r="C17" s="395"/>
      <c r="D17" s="396"/>
      <c r="E17" s="77" t="s">
        <v>10</v>
      </c>
    </row>
    <row r="18" spans="1:5" s="38" customFormat="1" ht="15.75" customHeight="1" x14ac:dyDescent="0.25">
      <c r="A18" s="49" t="s">
        <v>0</v>
      </c>
      <c r="B18" s="213" t="s">
        <v>16</v>
      </c>
      <c r="C18" s="400"/>
      <c r="D18" s="401"/>
      <c r="E18" s="78">
        <f>C13</f>
        <v>1743.48</v>
      </c>
    </row>
    <row r="19" spans="1:5" s="38" customFormat="1" ht="15.75" customHeight="1" x14ac:dyDescent="0.25">
      <c r="A19" s="49" t="s">
        <v>2</v>
      </c>
      <c r="B19" s="213" t="s">
        <v>17</v>
      </c>
      <c r="C19" s="390" t="s">
        <v>18</v>
      </c>
      <c r="D19" s="391"/>
      <c r="E19" s="79"/>
    </row>
    <row r="20" spans="1:5" s="38" customFormat="1" ht="15.75" customHeight="1" x14ac:dyDescent="0.25">
      <c r="A20" s="49" t="s">
        <v>3</v>
      </c>
      <c r="B20" s="213" t="s">
        <v>19</v>
      </c>
      <c r="C20" s="438" t="s">
        <v>299</v>
      </c>
      <c r="D20" s="439"/>
      <c r="E20" s="79">
        <f>40%*1518</f>
        <v>607.20000000000005</v>
      </c>
    </row>
    <row r="21" spans="1:5" s="38" customFormat="1" ht="15.75" customHeight="1" x14ac:dyDescent="0.25">
      <c r="A21" s="49" t="s">
        <v>5</v>
      </c>
      <c r="B21" s="213" t="s">
        <v>20</v>
      </c>
      <c r="C21" s="390" t="s">
        <v>21</v>
      </c>
      <c r="D21" s="391"/>
      <c r="E21" s="79">
        <f>((((E18+E20)/182.52)*20%)*8)*15.21</f>
        <v>313.42</v>
      </c>
    </row>
    <row r="22" spans="1:5" s="38" customFormat="1" ht="15.75" customHeight="1" x14ac:dyDescent="0.25">
      <c r="A22" s="49" t="s">
        <v>22</v>
      </c>
      <c r="B22" s="213" t="s">
        <v>198</v>
      </c>
      <c r="C22" s="390" t="s">
        <v>23</v>
      </c>
      <c r="D22" s="391"/>
      <c r="E22" s="79"/>
    </row>
    <row r="23" spans="1:5" s="38" customFormat="1" x14ac:dyDescent="0.25">
      <c r="A23" s="49" t="s">
        <v>24</v>
      </c>
      <c r="B23" s="213" t="s">
        <v>131</v>
      </c>
      <c r="C23" s="392"/>
      <c r="D23" s="393"/>
      <c r="E23" s="79"/>
    </row>
    <row r="24" spans="1:5" s="38" customFormat="1" ht="15.75" customHeight="1" x14ac:dyDescent="0.25">
      <c r="A24" s="49" t="s">
        <v>25</v>
      </c>
      <c r="B24" s="214" t="s">
        <v>132</v>
      </c>
      <c r="C24" s="392"/>
      <c r="D24" s="393"/>
      <c r="E24" s="79"/>
    </row>
    <row r="25" spans="1:5" s="39" customFormat="1" ht="15.75" customHeight="1" x14ac:dyDescent="0.25">
      <c r="A25" s="365" t="s">
        <v>147</v>
      </c>
      <c r="B25" s="366"/>
      <c r="C25" s="366"/>
      <c r="D25" s="367"/>
      <c r="E25" s="80">
        <f>SUM(E18:E24)</f>
        <v>2664.1</v>
      </c>
    </row>
    <row r="26" spans="1:5" s="39" customFormat="1" x14ac:dyDescent="0.25">
      <c r="A26" s="356" t="s">
        <v>47</v>
      </c>
      <c r="B26" s="357"/>
      <c r="C26" s="357"/>
      <c r="D26" s="357"/>
      <c r="E26" s="358"/>
    </row>
    <row r="27" spans="1:5" s="38" customFormat="1" ht="30" customHeight="1" x14ac:dyDescent="0.25">
      <c r="A27" s="71">
        <v>2</v>
      </c>
      <c r="B27" s="215" t="s">
        <v>199</v>
      </c>
      <c r="C27" s="72" t="s">
        <v>189</v>
      </c>
      <c r="D27" s="73"/>
      <c r="E27" s="81" t="s">
        <v>10</v>
      </c>
    </row>
    <row r="28" spans="1:5" s="38" customFormat="1" x14ac:dyDescent="0.25">
      <c r="A28" s="51" t="s">
        <v>0</v>
      </c>
      <c r="B28" s="52" t="s">
        <v>33</v>
      </c>
      <c r="C28" s="41">
        <f>E25</f>
        <v>2664.1</v>
      </c>
      <c r="D28" s="55">
        <f>1/12</f>
        <v>8.3299999999999999E-2</v>
      </c>
      <c r="E28" s="74">
        <f>(C28)*D28</f>
        <v>221.92</v>
      </c>
    </row>
    <row r="29" spans="1:5" s="38" customFormat="1" x14ac:dyDescent="0.25">
      <c r="A29" s="51" t="s">
        <v>2</v>
      </c>
      <c r="B29" s="216" t="s">
        <v>291</v>
      </c>
      <c r="C29" s="41">
        <f>E25</f>
        <v>2664.1</v>
      </c>
      <c r="D29" s="55">
        <v>0.1111</v>
      </c>
      <c r="E29" s="74">
        <f>(C29)*D29</f>
        <v>295.98</v>
      </c>
    </row>
    <row r="30" spans="1:5" x14ac:dyDescent="0.25">
      <c r="A30" s="371" t="s">
        <v>31</v>
      </c>
      <c r="B30" s="372"/>
      <c r="C30" s="373"/>
      <c r="D30" s="76">
        <f>SUM(D28:D29)</f>
        <v>0.19439999999999999</v>
      </c>
      <c r="E30" s="75">
        <f>SUM(E28:E29)</f>
        <v>517.9</v>
      </c>
    </row>
    <row r="31" spans="1:5" ht="30" customHeight="1" x14ac:dyDescent="0.25">
      <c r="A31" s="440" t="s">
        <v>202</v>
      </c>
      <c r="B31" s="441"/>
      <c r="C31" s="441"/>
      <c r="D31" s="441"/>
      <c r="E31" s="442"/>
    </row>
    <row r="32" spans="1:5" ht="30" customHeight="1" x14ac:dyDescent="0.25">
      <c r="A32" s="242" t="s">
        <v>137</v>
      </c>
      <c r="B32" s="50" t="s">
        <v>29</v>
      </c>
      <c r="C32" s="40" t="s">
        <v>189</v>
      </c>
      <c r="D32" s="53"/>
      <c r="E32" s="82" t="s">
        <v>10</v>
      </c>
    </row>
    <row r="33" spans="1:5" x14ac:dyDescent="0.25">
      <c r="A33" s="51" t="s">
        <v>0</v>
      </c>
      <c r="B33" s="217" t="s">
        <v>292</v>
      </c>
      <c r="C33" s="41">
        <f>E$25+E$30</f>
        <v>3182</v>
      </c>
      <c r="D33" s="55">
        <v>0.2</v>
      </c>
      <c r="E33" s="74">
        <f t="shared" ref="E33:E40" si="0">C33*D33</f>
        <v>636.4</v>
      </c>
    </row>
    <row r="34" spans="1:5" x14ac:dyDescent="0.25">
      <c r="A34" s="51" t="s">
        <v>2</v>
      </c>
      <c r="B34" s="217" t="s">
        <v>296</v>
      </c>
      <c r="C34" s="41">
        <f>E$25+E$30</f>
        <v>3182</v>
      </c>
      <c r="D34" s="245">
        <v>2.5000000000000001E-2</v>
      </c>
      <c r="E34" s="74">
        <f t="shared" si="0"/>
        <v>79.55</v>
      </c>
    </row>
    <row r="35" spans="1:5" ht="45" x14ac:dyDescent="0.25">
      <c r="A35" s="51" t="s">
        <v>3</v>
      </c>
      <c r="B35" s="218" t="s">
        <v>297</v>
      </c>
      <c r="C35" s="41">
        <f>E$25+E$30</f>
        <v>3182</v>
      </c>
      <c r="D35" s="245">
        <v>0.03</v>
      </c>
      <c r="E35" s="74">
        <f t="shared" si="0"/>
        <v>95.46</v>
      </c>
    </row>
    <row r="36" spans="1:5" x14ac:dyDescent="0.25">
      <c r="A36" s="51" t="s">
        <v>5</v>
      </c>
      <c r="B36" s="217" t="s">
        <v>293</v>
      </c>
      <c r="C36" s="41">
        <f t="shared" ref="C36:C40" si="1">E$25+E$30</f>
        <v>3182</v>
      </c>
      <c r="D36" s="245">
        <v>1.4999999999999999E-2</v>
      </c>
      <c r="E36" s="74">
        <f t="shared" si="0"/>
        <v>47.73</v>
      </c>
    </row>
    <row r="37" spans="1:5" x14ac:dyDescent="0.25">
      <c r="A37" s="51" t="s">
        <v>22</v>
      </c>
      <c r="B37" s="217" t="s">
        <v>294</v>
      </c>
      <c r="C37" s="41">
        <f t="shared" si="1"/>
        <v>3182</v>
      </c>
      <c r="D37" s="245">
        <v>0.01</v>
      </c>
      <c r="E37" s="74">
        <f t="shared" si="0"/>
        <v>31.82</v>
      </c>
    </row>
    <row r="38" spans="1:5" x14ac:dyDescent="0.25">
      <c r="A38" s="51" t="s">
        <v>24</v>
      </c>
      <c r="B38" s="220" t="s">
        <v>201</v>
      </c>
      <c r="C38" s="41">
        <f t="shared" si="1"/>
        <v>3182</v>
      </c>
      <c r="D38" s="245">
        <v>6.0000000000000001E-3</v>
      </c>
      <c r="E38" s="74">
        <f t="shared" si="0"/>
        <v>19.09</v>
      </c>
    </row>
    <row r="39" spans="1:5" ht="30" x14ac:dyDescent="0.25">
      <c r="A39" s="51" t="s">
        <v>25</v>
      </c>
      <c r="B39" s="218" t="s">
        <v>295</v>
      </c>
      <c r="C39" s="41">
        <f t="shared" si="1"/>
        <v>3182</v>
      </c>
      <c r="D39" s="245">
        <v>2E-3</v>
      </c>
      <c r="E39" s="74">
        <f t="shared" si="0"/>
        <v>6.36</v>
      </c>
    </row>
    <row r="40" spans="1:5" x14ac:dyDescent="0.25">
      <c r="A40" s="51" t="s">
        <v>30</v>
      </c>
      <c r="B40" s="219" t="s">
        <v>200</v>
      </c>
      <c r="C40" s="41">
        <f t="shared" si="1"/>
        <v>3182</v>
      </c>
      <c r="D40" s="245">
        <v>0.08</v>
      </c>
      <c r="E40" s="74">
        <f t="shared" si="0"/>
        <v>254.56</v>
      </c>
    </row>
    <row r="41" spans="1:5" s="30" customFormat="1" x14ac:dyDescent="0.25">
      <c r="A41" s="371" t="s">
        <v>31</v>
      </c>
      <c r="B41" s="372"/>
      <c r="C41" s="373"/>
      <c r="D41" s="68">
        <f>SUM(D33:D40)</f>
        <v>0.36799999999999999</v>
      </c>
      <c r="E41" s="75">
        <f>SUM(E33:E40)</f>
        <v>1170.97</v>
      </c>
    </row>
    <row r="42" spans="1:5" s="30" customFormat="1" x14ac:dyDescent="0.25">
      <c r="A42" s="368" t="s">
        <v>176</v>
      </c>
      <c r="B42" s="369"/>
      <c r="C42" s="369"/>
      <c r="D42" s="369"/>
      <c r="E42" s="370"/>
    </row>
    <row r="43" spans="1:5" s="30" customFormat="1" ht="30" customHeight="1" x14ac:dyDescent="0.25">
      <c r="A43" s="221" t="s">
        <v>192</v>
      </c>
      <c r="B43" s="222" t="s">
        <v>203</v>
      </c>
      <c r="C43" s="72" t="s">
        <v>189</v>
      </c>
      <c r="D43" s="73"/>
      <c r="E43" s="81" t="s">
        <v>10</v>
      </c>
    </row>
    <row r="44" spans="1:5" s="30" customFormat="1" x14ac:dyDescent="0.25">
      <c r="A44" s="223" t="s">
        <v>0</v>
      </c>
      <c r="B44" s="208" t="s">
        <v>141</v>
      </c>
      <c r="C44" s="207">
        <v>3</v>
      </c>
      <c r="D44" s="208"/>
      <c r="E44" s="209">
        <v>0</v>
      </c>
    </row>
    <row r="45" spans="1:5" s="30" customFormat="1" x14ac:dyDescent="0.25">
      <c r="A45" s="224" t="s">
        <v>2</v>
      </c>
      <c r="B45" s="214" t="s">
        <v>204</v>
      </c>
      <c r="C45" s="183">
        <v>626.97</v>
      </c>
      <c r="D45" s="56"/>
      <c r="E45" s="78">
        <f>C45-(C45*0.99%)</f>
        <v>620.76</v>
      </c>
    </row>
    <row r="46" spans="1:5" s="30" customFormat="1" x14ac:dyDescent="0.25">
      <c r="A46" s="51" t="s">
        <v>3</v>
      </c>
      <c r="B46" s="52" t="s">
        <v>127</v>
      </c>
      <c r="C46" s="42"/>
      <c r="D46" s="57"/>
      <c r="E46" s="83">
        <v>0</v>
      </c>
    </row>
    <row r="47" spans="1:5" s="30" customFormat="1" ht="45" x14ac:dyDescent="0.25">
      <c r="A47" s="51" t="s">
        <v>5</v>
      </c>
      <c r="B47" s="52" t="s">
        <v>128</v>
      </c>
      <c r="C47" s="243" t="s">
        <v>300</v>
      </c>
      <c r="D47" s="57"/>
      <c r="E47" s="83">
        <f>C13*50%*0.0199*2/12</f>
        <v>2.89</v>
      </c>
    </row>
    <row r="48" spans="1:5" s="30" customFormat="1" x14ac:dyDescent="0.25">
      <c r="A48" s="51" t="s">
        <v>22</v>
      </c>
      <c r="B48" s="52" t="s">
        <v>129</v>
      </c>
      <c r="C48" s="241"/>
      <c r="D48" s="57"/>
      <c r="E48" s="78">
        <v>50.76</v>
      </c>
    </row>
    <row r="49" spans="1:5" s="30" customFormat="1" ht="15.75" customHeight="1" x14ac:dyDescent="0.25">
      <c r="A49" s="371" t="s">
        <v>26</v>
      </c>
      <c r="B49" s="372"/>
      <c r="C49" s="372"/>
      <c r="D49" s="373"/>
      <c r="E49" s="75">
        <f>SUM(E44:E48)</f>
        <v>674.41</v>
      </c>
    </row>
    <row r="50" spans="1:5" s="30" customFormat="1" ht="15.75" customHeight="1" x14ac:dyDescent="0.25">
      <c r="A50" s="368" t="s">
        <v>146</v>
      </c>
      <c r="B50" s="369"/>
      <c r="C50" s="369"/>
      <c r="D50" s="369"/>
      <c r="E50" s="370"/>
    </row>
    <row r="51" spans="1:5" s="30" customFormat="1" ht="15.75" customHeight="1" x14ac:dyDescent="0.25">
      <c r="A51" s="48" t="s">
        <v>137</v>
      </c>
      <c r="B51" s="212" t="s">
        <v>142</v>
      </c>
      <c r="C51" s="59"/>
      <c r="D51" s="59"/>
      <c r="E51" s="84">
        <f>E30</f>
        <v>517.9</v>
      </c>
    </row>
    <row r="52" spans="1:5" s="30" customFormat="1" ht="15.75" customHeight="1" x14ac:dyDescent="0.25">
      <c r="A52" s="48" t="s">
        <v>138</v>
      </c>
      <c r="B52" s="212" t="s">
        <v>143</v>
      </c>
      <c r="C52" s="59"/>
      <c r="D52" s="59"/>
      <c r="E52" s="84">
        <f>E41</f>
        <v>1170.97</v>
      </c>
    </row>
    <row r="53" spans="1:5" s="30" customFormat="1" ht="15.75" customHeight="1" x14ac:dyDescent="0.25">
      <c r="A53" s="48" t="s">
        <v>192</v>
      </c>
      <c r="B53" s="212" t="s">
        <v>144</v>
      </c>
      <c r="C53" s="59"/>
      <c r="D53" s="59"/>
      <c r="E53" s="84">
        <f>E49</f>
        <v>674.41</v>
      </c>
    </row>
    <row r="54" spans="1:5" s="30" customFormat="1" ht="15.75" customHeight="1" x14ac:dyDescent="0.25">
      <c r="A54" s="362" t="s">
        <v>148</v>
      </c>
      <c r="B54" s="363"/>
      <c r="C54" s="363"/>
      <c r="D54" s="364"/>
      <c r="E54" s="80">
        <f>SUM(E51:E53)</f>
        <v>2363.2800000000002</v>
      </c>
    </row>
    <row r="55" spans="1:5" s="30" customFormat="1" ht="15.75" customHeight="1" x14ac:dyDescent="0.25">
      <c r="A55" s="356" t="s">
        <v>156</v>
      </c>
      <c r="B55" s="357"/>
      <c r="C55" s="357"/>
      <c r="D55" s="357"/>
      <c r="E55" s="358"/>
    </row>
    <row r="56" spans="1:5" s="30" customFormat="1" ht="30" customHeight="1" x14ac:dyDescent="0.25">
      <c r="A56" s="242" t="s">
        <v>205</v>
      </c>
      <c r="B56" s="225" t="s">
        <v>34</v>
      </c>
      <c r="C56" s="255" t="s">
        <v>189</v>
      </c>
      <c r="D56" s="67"/>
      <c r="E56" s="82" t="s">
        <v>10</v>
      </c>
    </row>
    <row r="57" spans="1:5" s="30" customFormat="1" ht="15.75" customHeight="1" x14ac:dyDescent="0.25">
      <c r="A57" s="51" t="s">
        <v>0</v>
      </c>
      <c r="B57" s="52" t="s">
        <v>35</v>
      </c>
      <c r="C57" s="41">
        <f>E$25</f>
        <v>2664.1</v>
      </c>
      <c r="D57" s="55">
        <v>4.5999999999999999E-3</v>
      </c>
      <c r="E57" s="74">
        <f>C57*D57</f>
        <v>12.25</v>
      </c>
    </row>
    <row r="58" spans="1:5" s="30" customFormat="1" ht="15.75" customHeight="1" x14ac:dyDescent="0.25">
      <c r="A58" s="51" t="s">
        <v>2</v>
      </c>
      <c r="B58" s="52" t="s">
        <v>36</v>
      </c>
      <c r="C58" s="41">
        <f t="shared" ref="C58:C61" si="2">E$25</f>
        <v>2664.1</v>
      </c>
      <c r="D58" s="55">
        <v>4.0000000000000002E-4</v>
      </c>
      <c r="E58" s="74">
        <f>C58*D58</f>
        <v>1.07</v>
      </c>
    </row>
    <row r="59" spans="1:5" s="30" customFormat="1" ht="15.75" customHeight="1" x14ac:dyDescent="0.25">
      <c r="A59" s="51" t="s">
        <v>3</v>
      </c>
      <c r="B59" s="52" t="s">
        <v>37</v>
      </c>
      <c r="C59" s="41">
        <f t="shared" si="2"/>
        <v>2664.1</v>
      </c>
      <c r="D59" s="55">
        <v>1.9400000000000001E-2</v>
      </c>
      <c r="E59" s="74">
        <f>C59*D59</f>
        <v>51.68</v>
      </c>
    </row>
    <row r="60" spans="1:5" s="30" customFormat="1" ht="30" customHeight="1" x14ac:dyDescent="0.25">
      <c r="A60" s="51" t="s">
        <v>5</v>
      </c>
      <c r="B60" s="88" t="s">
        <v>301</v>
      </c>
      <c r="C60" s="41">
        <f t="shared" si="2"/>
        <v>2664.1</v>
      </c>
      <c r="D60" s="55">
        <v>7.7000000000000002E-3</v>
      </c>
      <c r="E60" s="74">
        <f>C60*D60</f>
        <v>20.51</v>
      </c>
    </row>
    <row r="61" spans="1:5" s="30" customFormat="1" ht="32.25" customHeight="1" x14ac:dyDescent="0.25">
      <c r="A61" s="51" t="s">
        <v>22</v>
      </c>
      <c r="B61" s="52" t="s">
        <v>178</v>
      </c>
      <c r="C61" s="41">
        <f t="shared" si="2"/>
        <v>2664.1</v>
      </c>
      <c r="D61" s="55">
        <v>0.04</v>
      </c>
      <c r="E61" s="74">
        <f>C61*D61</f>
        <v>106.56</v>
      </c>
    </row>
    <row r="62" spans="1:5" s="30" customFormat="1" x14ac:dyDescent="0.25">
      <c r="A62" s="365" t="s">
        <v>149</v>
      </c>
      <c r="B62" s="366"/>
      <c r="C62" s="366"/>
      <c r="D62" s="104">
        <f>SUM(D57:D61)</f>
        <v>7.2099999999999997E-2</v>
      </c>
      <c r="E62" s="100">
        <f>SUM(E57:E61)</f>
        <v>192.07</v>
      </c>
    </row>
    <row r="63" spans="1:5" s="30" customFormat="1" ht="15.75" customHeight="1" x14ac:dyDescent="0.25">
      <c r="A63" s="356" t="s">
        <v>157</v>
      </c>
      <c r="B63" s="357"/>
      <c r="C63" s="357"/>
      <c r="D63" s="357"/>
      <c r="E63" s="358"/>
    </row>
    <row r="64" spans="1:5" s="30" customFormat="1" ht="30" customHeight="1" x14ac:dyDescent="0.25">
      <c r="A64" s="242" t="s">
        <v>28</v>
      </c>
      <c r="B64" s="60" t="s">
        <v>206</v>
      </c>
      <c r="C64" s="255" t="s">
        <v>189</v>
      </c>
      <c r="D64" s="85"/>
      <c r="E64" s="82" t="s">
        <v>10</v>
      </c>
    </row>
    <row r="65" spans="1:5" s="30" customFormat="1" x14ac:dyDescent="0.25">
      <c r="A65" s="51" t="s">
        <v>0</v>
      </c>
      <c r="B65" s="52" t="s">
        <v>179</v>
      </c>
      <c r="C65" s="43">
        <f>E$25+E$54+E$62+E85</f>
        <v>5259.98</v>
      </c>
      <c r="D65" s="55">
        <f>D29/12</f>
        <v>9.2999999999999992E-3</v>
      </c>
      <c r="E65" s="74">
        <f t="shared" ref="E65:E71" si="3">(C65)*D65</f>
        <v>48.92</v>
      </c>
    </row>
    <row r="66" spans="1:5" s="30" customFormat="1" x14ac:dyDescent="0.25">
      <c r="A66" s="51" t="s">
        <v>2</v>
      </c>
      <c r="B66" s="52" t="s">
        <v>180</v>
      </c>
      <c r="C66" s="43">
        <f>E$25+E$54+E$62+E85</f>
        <v>5259.98</v>
      </c>
      <c r="D66" s="55">
        <v>1.3899999999999999E-2</v>
      </c>
      <c r="E66" s="74">
        <f t="shared" si="3"/>
        <v>73.11</v>
      </c>
    </row>
    <row r="67" spans="1:5" s="30" customFormat="1" x14ac:dyDescent="0.25">
      <c r="A67" s="51" t="s">
        <v>3</v>
      </c>
      <c r="B67" s="52" t="s">
        <v>183</v>
      </c>
      <c r="C67" s="43">
        <f>E$25+E$54+E$62+E85</f>
        <v>5259.98</v>
      </c>
      <c r="D67" s="55">
        <v>1.2999999999999999E-3</v>
      </c>
      <c r="E67" s="74">
        <f t="shared" si="3"/>
        <v>6.84</v>
      </c>
    </row>
    <row r="68" spans="1:5" s="30" customFormat="1" x14ac:dyDescent="0.25">
      <c r="A68" s="51" t="s">
        <v>5</v>
      </c>
      <c r="B68" s="52" t="s">
        <v>181</v>
      </c>
      <c r="C68" s="43">
        <f>E$25+E$54+E$62+E85</f>
        <v>5259.98</v>
      </c>
      <c r="D68" s="55">
        <v>2.0000000000000001E-4</v>
      </c>
      <c r="E68" s="74">
        <f t="shared" si="3"/>
        <v>1.05</v>
      </c>
    </row>
    <row r="69" spans="1:5" s="30" customFormat="1" x14ac:dyDescent="0.25">
      <c r="A69" s="51" t="s">
        <v>22</v>
      </c>
      <c r="B69" s="52" t="s">
        <v>302</v>
      </c>
      <c r="C69" s="43">
        <f>E$25+E$54+E$62+E85</f>
        <v>5259.98</v>
      </c>
      <c r="D69" s="55">
        <v>2.8E-3</v>
      </c>
      <c r="E69" s="74">
        <f t="shared" si="3"/>
        <v>14.73</v>
      </c>
    </row>
    <row r="70" spans="1:5" s="30" customFormat="1" x14ac:dyDescent="0.25">
      <c r="A70" s="51" t="s">
        <v>24</v>
      </c>
      <c r="B70" s="52" t="s">
        <v>182</v>
      </c>
      <c r="C70" s="43">
        <f>E$25+E$54+E$62+E85</f>
        <v>5259.98</v>
      </c>
      <c r="D70" s="55">
        <v>2.9999999999999997E-4</v>
      </c>
      <c r="E70" s="74">
        <f t="shared" ref="E70" si="4">(C70)*D70</f>
        <v>1.58</v>
      </c>
    </row>
    <row r="71" spans="1:5" s="30" customFormat="1" x14ac:dyDescent="0.25">
      <c r="A71" s="51" t="s">
        <v>25</v>
      </c>
      <c r="B71" s="89" t="s">
        <v>184</v>
      </c>
      <c r="C71" s="43">
        <f>E$25+E$54+E$62+E85</f>
        <v>5259.98</v>
      </c>
      <c r="D71" s="55">
        <v>0</v>
      </c>
      <c r="E71" s="74">
        <f t="shared" si="3"/>
        <v>0</v>
      </c>
    </row>
    <row r="72" spans="1:5" s="30" customFormat="1" ht="15.75" customHeight="1" x14ac:dyDescent="0.25">
      <c r="A72" s="371" t="s">
        <v>185</v>
      </c>
      <c r="B72" s="372"/>
      <c r="C72" s="373"/>
      <c r="D72" s="86">
        <f>SUM(D65:D71)</f>
        <v>2.7799999999999998E-2</v>
      </c>
      <c r="E72" s="75">
        <f>SUM(E65:E71)</f>
        <v>146.22999999999999</v>
      </c>
    </row>
    <row r="73" spans="1:5" s="30" customFormat="1" ht="15.75" customHeight="1" x14ac:dyDescent="0.25">
      <c r="A73" s="368" t="s">
        <v>186</v>
      </c>
      <c r="B73" s="369"/>
      <c r="C73" s="369"/>
      <c r="D73" s="369"/>
      <c r="E73" s="370"/>
    </row>
    <row r="74" spans="1:5" s="30" customFormat="1" x14ac:dyDescent="0.25">
      <c r="A74" s="242"/>
      <c r="B74" s="50" t="s">
        <v>186</v>
      </c>
      <c r="C74" s="88"/>
      <c r="D74" s="88"/>
      <c r="E74" s="82" t="s">
        <v>10</v>
      </c>
    </row>
    <row r="75" spans="1:5" s="30" customFormat="1" ht="15.75" customHeight="1" x14ac:dyDescent="0.25">
      <c r="A75" s="51" t="s">
        <v>0</v>
      </c>
      <c r="B75" s="62" t="s">
        <v>187</v>
      </c>
      <c r="C75" s="42"/>
      <c r="D75" s="55">
        <v>0</v>
      </c>
      <c r="E75" s="74">
        <f>(E$25+E$54+E$62)*D75</f>
        <v>0</v>
      </c>
    </row>
    <row r="76" spans="1:5" s="30" customFormat="1" ht="15.75" customHeight="1" x14ac:dyDescent="0.25">
      <c r="A76" s="371" t="s">
        <v>188</v>
      </c>
      <c r="B76" s="372"/>
      <c r="C76" s="373"/>
      <c r="D76" s="76">
        <f>SUM(D75:D75)</f>
        <v>0</v>
      </c>
      <c r="E76" s="75">
        <f>SUM(E75:E75)</f>
        <v>0</v>
      </c>
    </row>
    <row r="77" spans="1:5" s="30" customFormat="1" ht="15.75" customHeight="1" x14ac:dyDescent="0.25">
      <c r="A77" s="435" t="s">
        <v>207</v>
      </c>
      <c r="B77" s="436"/>
      <c r="C77" s="436"/>
      <c r="D77" s="436"/>
      <c r="E77" s="437"/>
    </row>
    <row r="78" spans="1:5" s="30" customFormat="1" ht="15.75" customHeight="1" x14ac:dyDescent="0.25">
      <c r="A78" s="242">
        <v>4</v>
      </c>
      <c r="B78" s="97" t="s">
        <v>208</v>
      </c>
      <c r="C78" s="232"/>
      <c r="D78" s="98"/>
      <c r="E78" s="82" t="s">
        <v>10</v>
      </c>
    </row>
    <row r="79" spans="1:5" s="30" customFormat="1" ht="15.75" customHeight="1" x14ac:dyDescent="0.25">
      <c r="A79" s="51" t="s">
        <v>28</v>
      </c>
      <c r="B79" s="52" t="s">
        <v>206</v>
      </c>
      <c r="C79" s="232"/>
      <c r="D79" s="55">
        <f>D72</f>
        <v>2.7799999999999998E-2</v>
      </c>
      <c r="E79" s="74">
        <f>E72</f>
        <v>146.22999999999999</v>
      </c>
    </row>
    <row r="80" spans="1:5" s="30" customFormat="1" ht="15.75" customHeight="1" x14ac:dyDescent="0.25">
      <c r="A80" s="51" t="s">
        <v>32</v>
      </c>
      <c r="B80" s="52" t="s">
        <v>186</v>
      </c>
      <c r="C80" s="232"/>
      <c r="D80" s="55">
        <v>0</v>
      </c>
      <c r="E80" s="74">
        <f>(D$25+D$53+D$61)*D80</f>
        <v>0</v>
      </c>
    </row>
    <row r="81" spans="1:5" s="30" customFormat="1" ht="15.75" customHeight="1" x14ac:dyDescent="0.25">
      <c r="A81" s="371" t="s">
        <v>31</v>
      </c>
      <c r="B81" s="372"/>
      <c r="C81" s="373"/>
      <c r="D81" s="76">
        <f>SUM(D79:D80)</f>
        <v>2.7799999999999998E-2</v>
      </c>
      <c r="E81" s="75">
        <f>SUM(E79:E80)</f>
        <v>146.22999999999999</v>
      </c>
    </row>
    <row r="82" spans="1:5" s="30" customFormat="1" ht="15.75" customHeight="1" x14ac:dyDescent="0.25">
      <c r="A82" s="362" t="s">
        <v>150</v>
      </c>
      <c r="B82" s="363"/>
      <c r="C82" s="363"/>
      <c r="D82" s="364"/>
      <c r="E82" s="87">
        <f>SUM(E72+E76)</f>
        <v>146.22999999999999</v>
      </c>
    </row>
    <row r="83" spans="1:5" s="30" customFormat="1" ht="15.75" customHeight="1" x14ac:dyDescent="0.25">
      <c r="A83" s="356" t="s">
        <v>158</v>
      </c>
      <c r="B83" s="357"/>
      <c r="C83" s="357"/>
      <c r="D83" s="357"/>
      <c r="E83" s="358"/>
    </row>
    <row r="84" spans="1:5" s="30" customFormat="1" ht="15.75" customHeight="1" x14ac:dyDescent="0.25">
      <c r="A84" s="242">
        <v>5</v>
      </c>
      <c r="B84" s="225" t="s">
        <v>27</v>
      </c>
      <c r="C84" s="88"/>
      <c r="D84" s="88"/>
      <c r="E84" s="82" t="s">
        <v>10</v>
      </c>
    </row>
    <row r="85" spans="1:5" s="30" customFormat="1" ht="15.75" customHeight="1" x14ac:dyDescent="0.25">
      <c r="A85" s="224" t="s">
        <v>0</v>
      </c>
      <c r="B85" s="214" t="s">
        <v>209</v>
      </c>
      <c r="C85" s="61"/>
      <c r="D85" s="58"/>
      <c r="E85" s="74">
        <f>'Uniformes '!H10</f>
        <v>40.53</v>
      </c>
    </row>
    <row r="86" spans="1:5" s="30" customFormat="1" ht="15.75" customHeight="1" x14ac:dyDescent="0.25">
      <c r="A86" s="224" t="s">
        <v>2</v>
      </c>
      <c r="B86" s="214" t="s">
        <v>210</v>
      </c>
      <c r="C86" s="61"/>
      <c r="D86" s="58"/>
      <c r="E86" s="74">
        <f>'Material de Limpeza'!H51</f>
        <v>1081.1300000000001</v>
      </c>
    </row>
    <row r="87" spans="1:5" s="30" customFormat="1" ht="15.75" customHeight="1" x14ac:dyDescent="0.25">
      <c r="A87" s="224" t="s">
        <v>3</v>
      </c>
      <c r="B87" s="214" t="s">
        <v>193</v>
      </c>
      <c r="C87" s="61"/>
      <c r="D87" s="58"/>
      <c r="E87" s="74">
        <f>Equipamentos!H25</f>
        <v>109.89</v>
      </c>
    </row>
    <row r="88" spans="1:5" s="30" customFormat="1" ht="15.75" customHeight="1" x14ac:dyDescent="0.25">
      <c r="A88" s="224" t="s">
        <v>5</v>
      </c>
      <c r="B88" s="214" t="s">
        <v>130</v>
      </c>
      <c r="C88" s="61"/>
      <c r="D88" s="58"/>
      <c r="E88" s="74">
        <v>0</v>
      </c>
    </row>
    <row r="89" spans="1:5" s="30" customFormat="1" ht="15.75" customHeight="1" x14ac:dyDescent="0.25">
      <c r="A89" s="365" t="s">
        <v>151</v>
      </c>
      <c r="B89" s="366"/>
      <c r="C89" s="366"/>
      <c r="D89" s="367"/>
      <c r="E89" s="80">
        <f>SUM(E85:E88)</f>
        <v>1231.55</v>
      </c>
    </row>
    <row r="90" spans="1:5" s="30" customFormat="1" ht="23.25" customHeight="1" x14ac:dyDescent="0.25">
      <c r="A90" s="359" t="s">
        <v>211</v>
      </c>
      <c r="B90" s="360"/>
      <c r="C90" s="360"/>
      <c r="D90" s="361"/>
      <c r="E90" s="96">
        <f>E89+E82+E62+E54+E25</f>
        <v>6597.23</v>
      </c>
    </row>
    <row r="91" spans="1:5" s="30" customFormat="1" ht="19.5" customHeight="1" x14ac:dyDescent="0.25">
      <c r="A91" s="356" t="s">
        <v>159</v>
      </c>
      <c r="B91" s="357"/>
      <c r="C91" s="357"/>
      <c r="D91" s="357"/>
      <c r="E91" s="358"/>
    </row>
    <row r="92" spans="1:5" s="30" customFormat="1" ht="30" customHeight="1" x14ac:dyDescent="0.25">
      <c r="A92" s="244">
        <v>6</v>
      </c>
      <c r="B92" s="225" t="s">
        <v>38</v>
      </c>
      <c r="C92" s="40" t="s">
        <v>189</v>
      </c>
      <c r="D92" s="40"/>
      <c r="E92" s="82" t="s">
        <v>10</v>
      </c>
    </row>
    <row r="93" spans="1:5" s="30" customFormat="1" x14ac:dyDescent="0.25">
      <c r="A93" s="51" t="s">
        <v>0</v>
      </c>
      <c r="B93" s="52" t="s">
        <v>39</v>
      </c>
      <c r="C93" s="90">
        <f>E90</f>
        <v>6597.23</v>
      </c>
      <c r="D93" s="55">
        <v>0.05</v>
      </c>
      <c r="E93" s="74">
        <f>C93*D93</f>
        <v>329.86</v>
      </c>
    </row>
    <row r="94" spans="1:5" s="30" customFormat="1" x14ac:dyDescent="0.25">
      <c r="A94" s="51" t="s">
        <v>2</v>
      </c>
      <c r="B94" s="52" t="s">
        <v>40</v>
      </c>
      <c r="C94" s="90">
        <f>E90+E93</f>
        <v>6927.09</v>
      </c>
      <c r="D94" s="55">
        <v>0.1</v>
      </c>
      <c r="E94" s="74">
        <f>D94*C94</f>
        <v>692.71</v>
      </c>
    </row>
    <row r="95" spans="1:5" s="30" customFormat="1" ht="30.75" customHeight="1" x14ac:dyDescent="0.25">
      <c r="A95" s="51"/>
      <c r="B95" s="62" t="s">
        <v>212</v>
      </c>
      <c r="C95" s="52"/>
      <c r="D95" s="55">
        <f>1-D102</f>
        <v>0.85750000000000004</v>
      </c>
      <c r="E95" s="74">
        <f>+E90+E93+E94</f>
        <v>7619.8</v>
      </c>
    </row>
    <row r="96" spans="1:5" s="30" customFormat="1" ht="15.75" customHeight="1" x14ac:dyDescent="0.25">
      <c r="A96" s="51"/>
      <c r="B96" s="89"/>
      <c r="C96" s="54"/>
      <c r="D96" s="241"/>
      <c r="E96" s="102">
        <f>+E95/D95</f>
        <v>8886.06</v>
      </c>
    </row>
    <row r="97" spans="1:5" s="30" customFormat="1" ht="15.75" customHeight="1" x14ac:dyDescent="0.25">
      <c r="A97" s="51" t="s">
        <v>3</v>
      </c>
      <c r="B97" s="89" t="s">
        <v>41</v>
      </c>
      <c r="C97" s="54"/>
      <c r="D97" s="247">
        <f>D99+D100+D101</f>
        <v>0.14249999999999999</v>
      </c>
      <c r="E97" s="102"/>
    </row>
    <row r="98" spans="1:5" s="30" customFormat="1" ht="15.75" customHeight="1" x14ac:dyDescent="0.25">
      <c r="A98" s="51" t="s">
        <v>307</v>
      </c>
      <c r="B98" s="89" t="s">
        <v>303</v>
      </c>
      <c r="C98" s="89"/>
      <c r="D98" s="247">
        <f>D99+D100</f>
        <v>9.2499999999999999E-2</v>
      </c>
      <c r="E98" s="74"/>
    </row>
    <row r="99" spans="1:5" s="30" customFormat="1" ht="15.75" customHeight="1" x14ac:dyDescent="0.25">
      <c r="A99" s="51" t="s">
        <v>308</v>
      </c>
      <c r="B99" s="52" t="s">
        <v>304</v>
      </c>
      <c r="C99" s="69">
        <f>E96</f>
        <v>8886.06</v>
      </c>
      <c r="D99" s="55">
        <v>1.6500000000000001E-2</v>
      </c>
      <c r="E99" s="74">
        <f>C99*D99</f>
        <v>146.62</v>
      </c>
    </row>
    <row r="100" spans="1:5" s="30" customFormat="1" ht="15.75" customHeight="1" x14ac:dyDescent="0.25">
      <c r="A100" s="51" t="s">
        <v>309</v>
      </c>
      <c r="B100" s="52" t="s">
        <v>305</v>
      </c>
      <c r="C100" s="69">
        <f>E96</f>
        <v>8886.06</v>
      </c>
      <c r="D100" s="55">
        <v>7.5999999999999998E-2</v>
      </c>
      <c r="E100" s="74">
        <f>C100*D100</f>
        <v>675.34</v>
      </c>
    </row>
    <row r="101" spans="1:5" s="30" customFormat="1" ht="15.75" customHeight="1" thickBot="1" x14ac:dyDescent="0.3">
      <c r="A101" s="249" t="s">
        <v>310</v>
      </c>
      <c r="B101" s="246" t="s">
        <v>306</v>
      </c>
      <c r="C101" s="70">
        <f>E96</f>
        <v>8886.06</v>
      </c>
      <c r="D101" s="91">
        <v>0.05</v>
      </c>
      <c r="E101" s="103">
        <f>C101*D101</f>
        <v>444.3</v>
      </c>
    </row>
    <row r="102" spans="1:5" s="30" customFormat="1" ht="15.75" customHeight="1" thickBot="1" x14ac:dyDescent="0.3">
      <c r="A102" s="63"/>
      <c r="B102" s="354" t="s">
        <v>42</v>
      </c>
      <c r="C102" s="355"/>
      <c r="D102" s="248">
        <f>D97</f>
        <v>0.14249999999999999</v>
      </c>
      <c r="E102" s="101">
        <f>SUM(E99:E101)</f>
        <v>1266.26</v>
      </c>
    </row>
    <row r="103" spans="1:5" s="30" customFormat="1" ht="15.75" customHeight="1" x14ac:dyDescent="0.25">
      <c r="A103" s="375" t="s">
        <v>43</v>
      </c>
      <c r="B103" s="376"/>
      <c r="C103" s="376"/>
      <c r="D103" s="377"/>
      <c r="E103" s="92">
        <f>+E93+E94+E102</f>
        <v>2288.83</v>
      </c>
    </row>
    <row r="104" spans="1:5" s="30" customFormat="1" ht="15.75" customHeight="1" x14ac:dyDescent="0.25">
      <c r="A104" s="378" t="s">
        <v>44</v>
      </c>
      <c r="B104" s="379"/>
      <c r="C104" s="379"/>
      <c r="D104" s="380"/>
      <c r="E104" s="93" t="s">
        <v>10</v>
      </c>
    </row>
    <row r="105" spans="1:5" s="30" customFormat="1" ht="15.75" customHeight="1" x14ac:dyDescent="0.25">
      <c r="A105" s="51" t="s">
        <v>0</v>
      </c>
      <c r="B105" s="381" t="s">
        <v>45</v>
      </c>
      <c r="C105" s="382"/>
      <c r="D105" s="383"/>
      <c r="E105" s="74">
        <f>+E25</f>
        <v>2664.1</v>
      </c>
    </row>
    <row r="106" spans="1:5" s="30" customFormat="1" x14ac:dyDescent="0.25">
      <c r="A106" s="51" t="s">
        <v>2</v>
      </c>
      <c r="B106" s="381" t="s">
        <v>154</v>
      </c>
      <c r="C106" s="382"/>
      <c r="D106" s="383"/>
      <c r="E106" s="74">
        <f>+E54</f>
        <v>2363.2800000000002</v>
      </c>
    </row>
    <row r="107" spans="1:5" s="30" customFormat="1" x14ac:dyDescent="0.25">
      <c r="A107" s="51" t="s">
        <v>3</v>
      </c>
      <c r="B107" s="381" t="s">
        <v>152</v>
      </c>
      <c r="C107" s="382"/>
      <c r="D107" s="383"/>
      <c r="E107" s="74">
        <f>E62</f>
        <v>192.07</v>
      </c>
    </row>
    <row r="108" spans="1:5" s="30" customFormat="1" x14ac:dyDescent="0.25">
      <c r="A108" s="51" t="s">
        <v>5</v>
      </c>
      <c r="B108" s="381" t="s">
        <v>145</v>
      </c>
      <c r="C108" s="382"/>
      <c r="D108" s="383"/>
      <c r="E108" s="74">
        <f>E82</f>
        <v>146.22999999999999</v>
      </c>
    </row>
    <row r="109" spans="1:5" s="30" customFormat="1" x14ac:dyDescent="0.25">
      <c r="A109" s="51" t="s">
        <v>22</v>
      </c>
      <c r="B109" s="381" t="s">
        <v>153</v>
      </c>
      <c r="C109" s="382"/>
      <c r="D109" s="383"/>
      <c r="E109" s="74">
        <f>E89</f>
        <v>1231.55</v>
      </c>
    </row>
    <row r="110" spans="1:5" s="30" customFormat="1" ht="15.75" customHeight="1" x14ac:dyDescent="0.25">
      <c r="A110" s="384" t="s">
        <v>311</v>
      </c>
      <c r="B110" s="385"/>
      <c r="C110" s="385"/>
      <c r="D110" s="386"/>
      <c r="E110" s="94">
        <f>SUM(E105:E109)</f>
        <v>6597.23</v>
      </c>
    </row>
    <row r="111" spans="1:5" s="30" customFormat="1" x14ac:dyDescent="0.25">
      <c r="A111" s="51" t="s">
        <v>24</v>
      </c>
      <c r="B111" s="381" t="s">
        <v>155</v>
      </c>
      <c r="C111" s="382"/>
      <c r="D111" s="383"/>
      <c r="E111" s="74">
        <f>+E103</f>
        <v>2288.83</v>
      </c>
    </row>
    <row r="112" spans="1:5" s="30" customFormat="1" ht="16.5" customHeight="1" thickBot="1" x14ac:dyDescent="0.3">
      <c r="A112" s="387" t="s">
        <v>46</v>
      </c>
      <c r="B112" s="388"/>
      <c r="C112" s="388"/>
      <c r="D112" s="389"/>
      <c r="E112" s="95">
        <f>+E110+E111</f>
        <v>8886.06</v>
      </c>
    </row>
    <row r="113" spans="2:5" x14ac:dyDescent="0.25">
      <c r="D113" s="31"/>
      <c r="E113" s="33"/>
    </row>
    <row r="114" spans="2:5" x14ac:dyDescent="0.25">
      <c r="B114" s="28"/>
      <c r="C114" s="28"/>
      <c r="D114" s="31"/>
      <c r="E114" s="34"/>
    </row>
    <row r="115" spans="2:5" x14ac:dyDescent="0.25">
      <c r="B115" s="28"/>
      <c r="C115" s="28"/>
      <c r="D115" s="31"/>
      <c r="E115" s="34" t="s">
        <v>125</v>
      </c>
    </row>
    <row r="116" spans="2:5" x14ac:dyDescent="0.25">
      <c r="B116" s="28"/>
      <c r="C116" s="374"/>
      <c r="D116" s="374"/>
      <c r="E116" s="374"/>
    </row>
    <row r="117" spans="2:5" x14ac:dyDescent="0.25">
      <c r="B117" s="28"/>
      <c r="C117" s="28"/>
      <c r="D117" s="31"/>
      <c r="E117" s="35"/>
    </row>
    <row r="119" spans="2:5" x14ac:dyDescent="0.25">
      <c r="B119" s="36"/>
    </row>
    <row r="124" spans="2:5" x14ac:dyDescent="0.25">
      <c r="B124" s="28"/>
      <c r="C124" s="28"/>
    </row>
  </sheetData>
  <mergeCells count="58">
    <mergeCell ref="A11:D11"/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C24:D24"/>
    <mergeCell ref="C12:E12"/>
    <mergeCell ref="C14:E14"/>
    <mergeCell ref="C15:E15"/>
    <mergeCell ref="A16:E16"/>
    <mergeCell ref="B17:D17"/>
    <mergeCell ref="C18:D18"/>
    <mergeCell ref="C19:D19"/>
    <mergeCell ref="C20:D20"/>
    <mergeCell ref="C21:D21"/>
    <mergeCell ref="C22:D22"/>
    <mergeCell ref="C23:D23"/>
    <mergeCell ref="C13:E13"/>
    <mergeCell ref="A63:E63"/>
    <mergeCell ref="A25:D25"/>
    <mergeCell ref="A26:E26"/>
    <mergeCell ref="A30:C30"/>
    <mergeCell ref="A31:E31"/>
    <mergeCell ref="A41:C41"/>
    <mergeCell ref="A42:E42"/>
    <mergeCell ref="A49:D49"/>
    <mergeCell ref="A50:E50"/>
    <mergeCell ref="A54:D54"/>
    <mergeCell ref="A55:E55"/>
    <mergeCell ref="A62:C62"/>
    <mergeCell ref="A103:D103"/>
    <mergeCell ref="A72:C72"/>
    <mergeCell ref="A73:E73"/>
    <mergeCell ref="A76:C76"/>
    <mergeCell ref="A77:E77"/>
    <mergeCell ref="A81:C81"/>
    <mergeCell ref="A82:D82"/>
    <mergeCell ref="A83:E83"/>
    <mergeCell ref="A89:D89"/>
    <mergeCell ref="A90:D90"/>
    <mergeCell ref="A91:E91"/>
    <mergeCell ref="B102:C102"/>
    <mergeCell ref="A110:D110"/>
    <mergeCell ref="B111:D111"/>
    <mergeCell ref="A112:D112"/>
    <mergeCell ref="C116:E116"/>
    <mergeCell ref="A104:D104"/>
    <mergeCell ref="B105:D105"/>
    <mergeCell ref="B106:D106"/>
    <mergeCell ref="B107:D107"/>
    <mergeCell ref="B108:D108"/>
    <mergeCell ref="B109:D109"/>
  </mergeCells>
  <hyperlinks>
    <hyperlink ref="B38" r:id="rId1" display="08 - Sebrae 0,3% ou 0,6% - IN nº 03, MPS/SRP/2005, Anexo II e III ver código da Tabela"/>
  </hyperlinks>
  <pageMargins left="0.7" right="0.7" top="0.75" bottom="0.75" header="0.3" footer="0.3"/>
  <pageSetup paperSize="9" scale="36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Normal="100" zoomScaleSheetLayoutView="100" workbookViewId="0">
      <selection activeCell="B11" sqref="B11"/>
    </sheetView>
  </sheetViews>
  <sheetFormatPr defaultRowHeight="15" x14ac:dyDescent="0.25"/>
  <cols>
    <col min="1" max="1" width="8.7109375" customWidth="1"/>
    <col min="2" max="2" width="40.7109375" customWidth="1"/>
    <col min="3" max="8" width="12.7109375" customWidth="1"/>
  </cols>
  <sheetData>
    <row r="1" spans="1:8" ht="15" customHeight="1" thickBot="1" x14ac:dyDescent="0.3">
      <c r="A1" s="454" t="s">
        <v>275</v>
      </c>
      <c r="B1" s="455"/>
      <c r="C1" s="455"/>
      <c r="D1" s="455"/>
      <c r="E1" s="455"/>
      <c r="F1" s="455"/>
      <c r="G1" s="455"/>
      <c r="H1" s="456"/>
    </row>
    <row r="2" spans="1:8" ht="15" customHeight="1" thickBot="1" x14ac:dyDescent="0.3">
      <c r="A2" s="457"/>
      <c r="B2" s="458"/>
      <c r="C2" s="458"/>
      <c r="D2" s="458"/>
      <c r="E2" s="458"/>
      <c r="F2" s="458"/>
      <c r="G2" s="458"/>
      <c r="H2" s="459"/>
    </row>
    <row r="3" spans="1:8" ht="15" customHeight="1" thickBot="1" x14ac:dyDescent="0.3">
      <c r="A3" s="460" t="s">
        <v>276</v>
      </c>
      <c r="B3" s="461"/>
      <c r="C3" s="461"/>
      <c r="D3" s="461"/>
      <c r="E3" s="461"/>
      <c r="F3" s="461"/>
      <c r="G3" s="461"/>
      <c r="H3" s="462"/>
    </row>
    <row r="4" spans="1:8" ht="30" customHeight="1" x14ac:dyDescent="0.25">
      <c r="A4" s="256" t="s">
        <v>277</v>
      </c>
      <c r="B4" s="257" t="s">
        <v>278</v>
      </c>
      <c r="C4" s="257" t="s">
        <v>279</v>
      </c>
      <c r="D4" s="257" t="s">
        <v>174</v>
      </c>
      <c r="E4" s="257" t="s">
        <v>174</v>
      </c>
      <c r="F4" s="257" t="s">
        <v>175</v>
      </c>
      <c r="G4" s="257" t="s">
        <v>190</v>
      </c>
      <c r="H4" s="258" t="s">
        <v>280</v>
      </c>
    </row>
    <row r="5" spans="1:8" ht="15" customHeight="1" x14ac:dyDescent="0.25">
      <c r="A5" s="233">
        <v>1</v>
      </c>
      <c r="B5" s="272" t="s">
        <v>281</v>
      </c>
      <c r="C5" s="272" t="s">
        <v>282</v>
      </c>
      <c r="D5" s="272">
        <v>2</v>
      </c>
      <c r="E5" s="272">
        <f>D5*2</f>
        <v>4</v>
      </c>
      <c r="F5" s="183">
        <v>57</v>
      </c>
      <c r="G5" s="184">
        <f>F5*E5</f>
        <v>228</v>
      </c>
      <c r="H5" s="185">
        <f>G5/12</f>
        <v>19</v>
      </c>
    </row>
    <row r="6" spans="1:8" ht="15" customHeight="1" x14ac:dyDescent="0.25">
      <c r="A6" s="233">
        <v>2</v>
      </c>
      <c r="B6" s="186" t="s">
        <v>283</v>
      </c>
      <c r="C6" s="272" t="s">
        <v>282</v>
      </c>
      <c r="D6" s="187">
        <v>2</v>
      </c>
      <c r="E6" s="272">
        <f>D6*2</f>
        <v>4</v>
      </c>
      <c r="F6" s="184">
        <v>38.99</v>
      </c>
      <c r="G6" s="184">
        <f>F6*E6</f>
        <v>155.96</v>
      </c>
      <c r="H6" s="185">
        <f>G6/12</f>
        <v>13</v>
      </c>
    </row>
    <row r="7" spans="1:8" ht="15" customHeight="1" x14ac:dyDescent="0.25">
      <c r="A7" s="233">
        <v>3</v>
      </c>
      <c r="B7" s="186" t="s">
        <v>284</v>
      </c>
      <c r="C7" s="272" t="s">
        <v>282</v>
      </c>
      <c r="D7" s="187">
        <v>1</v>
      </c>
      <c r="E7" s="272">
        <f>D7*2</f>
        <v>2</v>
      </c>
      <c r="F7" s="184">
        <v>2.2400000000000002</v>
      </c>
      <c r="G7" s="184">
        <f>F7*E7</f>
        <v>4.4800000000000004</v>
      </c>
      <c r="H7" s="185">
        <f>G7/12</f>
        <v>0.37</v>
      </c>
    </row>
    <row r="8" spans="1:8" ht="15" customHeight="1" x14ac:dyDescent="0.25">
      <c r="A8" s="234">
        <v>4</v>
      </c>
      <c r="B8" s="188" t="s">
        <v>285</v>
      </c>
      <c r="C8" s="189" t="s">
        <v>282</v>
      </c>
      <c r="D8" s="190">
        <v>1</v>
      </c>
      <c r="E8" s="189">
        <f>D8*2</f>
        <v>2</v>
      </c>
      <c r="F8" s="191">
        <v>43.5</v>
      </c>
      <c r="G8" s="191">
        <f>F8*E8</f>
        <v>87</v>
      </c>
      <c r="H8" s="192">
        <f>G8/12</f>
        <v>7.25</v>
      </c>
    </row>
    <row r="9" spans="1:8" ht="15" customHeight="1" thickBot="1" x14ac:dyDescent="0.3">
      <c r="A9" s="234">
        <v>5</v>
      </c>
      <c r="B9" s="236" t="s">
        <v>286</v>
      </c>
      <c r="C9" s="189" t="s">
        <v>282</v>
      </c>
      <c r="D9" s="190">
        <v>1</v>
      </c>
      <c r="E9" s="189">
        <f>D9*2</f>
        <v>2</v>
      </c>
      <c r="F9" s="191">
        <v>25.05</v>
      </c>
      <c r="G9" s="191">
        <v>10.92</v>
      </c>
      <c r="H9" s="192">
        <f>G9/12</f>
        <v>0.91</v>
      </c>
    </row>
    <row r="10" spans="1:8" ht="15" customHeight="1" thickBot="1" x14ac:dyDescent="0.3">
      <c r="A10" s="463" t="s">
        <v>287</v>
      </c>
      <c r="B10" s="464"/>
      <c r="C10" s="464"/>
      <c r="D10" s="464"/>
      <c r="E10" s="464"/>
      <c r="F10" s="464"/>
      <c r="G10" s="465"/>
      <c r="H10" s="193">
        <f>SUM(H5:H9)</f>
        <v>40.53</v>
      </c>
    </row>
    <row r="11" spans="1:8" ht="15.75" thickBot="1" x14ac:dyDescent="0.3">
      <c r="A11" s="466" t="s">
        <v>288</v>
      </c>
      <c r="B11" s="467"/>
      <c r="C11" s="467"/>
      <c r="D11" s="467"/>
      <c r="E11" s="467"/>
      <c r="F11" s="467"/>
      <c r="G11" s="467"/>
      <c r="H11" s="468"/>
    </row>
    <row r="12" spans="1:8" ht="15" customHeight="1" x14ac:dyDescent="0.25">
      <c r="A12" s="445" t="s">
        <v>312</v>
      </c>
      <c r="B12" s="446"/>
      <c r="C12" s="446"/>
      <c r="D12" s="446"/>
      <c r="E12" s="446"/>
      <c r="F12" s="446"/>
      <c r="G12" s="446"/>
      <c r="H12" s="447"/>
    </row>
    <row r="13" spans="1:8" x14ac:dyDescent="0.25">
      <c r="A13" s="448"/>
      <c r="B13" s="449"/>
      <c r="C13" s="449"/>
      <c r="D13" s="449"/>
      <c r="E13" s="449"/>
      <c r="F13" s="449"/>
      <c r="G13" s="449"/>
      <c r="H13" s="450"/>
    </row>
    <row r="14" spans="1:8" x14ac:dyDescent="0.25">
      <c r="A14" s="448"/>
      <c r="B14" s="449"/>
      <c r="C14" s="449"/>
      <c r="D14" s="449"/>
      <c r="E14" s="449"/>
      <c r="F14" s="449"/>
      <c r="G14" s="449"/>
      <c r="H14" s="450"/>
    </row>
    <row r="15" spans="1:8" x14ac:dyDescent="0.25">
      <c r="A15" s="448"/>
      <c r="B15" s="449"/>
      <c r="C15" s="449"/>
      <c r="D15" s="449"/>
      <c r="E15" s="449"/>
      <c r="F15" s="449"/>
      <c r="G15" s="449"/>
      <c r="H15" s="450"/>
    </row>
    <row r="16" spans="1:8" x14ac:dyDescent="0.25">
      <c r="A16" s="448"/>
      <c r="B16" s="449"/>
      <c r="C16" s="449"/>
      <c r="D16" s="449"/>
      <c r="E16" s="449"/>
      <c r="F16" s="449"/>
      <c r="G16" s="449"/>
      <c r="H16" s="450"/>
    </row>
    <row r="17" spans="1:8" x14ac:dyDescent="0.25">
      <c r="A17" s="448"/>
      <c r="B17" s="449"/>
      <c r="C17" s="449"/>
      <c r="D17" s="449"/>
      <c r="E17" s="449"/>
      <c r="F17" s="449"/>
      <c r="G17" s="449"/>
      <c r="H17" s="450"/>
    </row>
    <row r="18" spans="1:8" x14ac:dyDescent="0.25">
      <c r="A18" s="448"/>
      <c r="B18" s="449"/>
      <c r="C18" s="449"/>
      <c r="D18" s="449"/>
      <c r="E18" s="449"/>
      <c r="F18" s="449"/>
      <c r="G18" s="449"/>
      <c r="H18" s="450"/>
    </row>
    <row r="19" spans="1:8" x14ac:dyDescent="0.25">
      <c r="A19" s="448"/>
      <c r="B19" s="449"/>
      <c r="C19" s="449"/>
      <c r="D19" s="449"/>
      <c r="E19" s="449"/>
      <c r="F19" s="449"/>
      <c r="G19" s="449"/>
      <c r="H19" s="450"/>
    </row>
    <row r="20" spans="1:8" x14ac:dyDescent="0.25">
      <c r="A20" s="448"/>
      <c r="B20" s="449"/>
      <c r="C20" s="449"/>
      <c r="D20" s="449"/>
      <c r="E20" s="449"/>
      <c r="F20" s="449"/>
      <c r="G20" s="449"/>
      <c r="H20" s="450"/>
    </row>
    <row r="21" spans="1:8" x14ac:dyDescent="0.25">
      <c r="A21" s="448"/>
      <c r="B21" s="449"/>
      <c r="C21" s="449"/>
      <c r="D21" s="449"/>
      <c r="E21" s="449"/>
      <c r="F21" s="449"/>
      <c r="G21" s="449"/>
      <c r="H21" s="450"/>
    </row>
    <row r="22" spans="1:8" ht="15.75" thickBot="1" x14ac:dyDescent="0.3">
      <c r="A22" s="451"/>
      <c r="B22" s="452"/>
      <c r="C22" s="452"/>
      <c r="D22" s="452"/>
      <c r="E22" s="452"/>
      <c r="F22" s="452"/>
      <c r="G22" s="452"/>
      <c r="H22" s="453"/>
    </row>
    <row r="23" spans="1:8" x14ac:dyDescent="0.25">
      <c r="A23" s="194"/>
      <c r="B23" s="194"/>
      <c r="C23" s="194"/>
      <c r="D23" s="194"/>
      <c r="E23" s="194"/>
      <c r="F23" s="194"/>
      <c r="G23" s="194"/>
      <c r="H23" s="194"/>
    </row>
  </sheetData>
  <mergeCells count="6">
    <mergeCell ref="A12:H22"/>
    <mergeCell ref="A1:H1"/>
    <mergeCell ref="A2:H2"/>
    <mergeCell ref="A3:H3"/>
    <mergeCell ref="A10:G10"/>
    <mergeCell ref="A11:H11"/>
  </mergeCells>
  <printOptions horizontalCentered="1"/>
  <pageMargins left="0.31496062992125984" right="0.31496062992125984" top="0.35433070866141736" bottom="1.1811023622047245" header="3.937007874015748E-2" footer="0.31496062992125984"/>
  <pageSetup paperSize="9" scale="77" orientation="portrait" r:id="rId1"/>
  <headerFooter differentFirst="1">
    <firstFooter>&amp;R&amp;G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view="pageBreakPreview" topLeftCell="A22" zoomScaleNormal="90" zoomScaleSheetLayoutView="100" workbookViewId="0">
      <selection activeCell="B11" sqref="B11"/>
    </sheetView>
  </sheetViews>
  <sheetFormatPr defaultRowHeight="12.75" x14ac:dyDescent="0.25"/>
  <cols>
    <col min="1" max="1" width="8.7109375" style="126" customWidth="1"/>
    <col min="2" max="2" width="50.7109375" style="126" customWidth="1"/>
    <col min="3" max="3" width="20.7109375" style="126" customWidth="1"/>
    <col min="4" max="8" width="12.7109375" style="126" customWidth="1"/>
    <col min="9" max="16384" width="9.140625" style="126"/>
  </cols>
  <sheetData>
    <row r="1" spans="1:8" ht="15.75" thickBot="1" x14ac:dyDescent="0.3">
      <c r="A1" s="490" t="s">
        <v>272</v>
      </c>
      <c r="B1" s="491"/>
      <c r="C1" s="491"/>
      <c r="D1" s="491"/>
      <c r="E1" s="491"/>
      <c r="F1" s="491"/>
      <c r="G1" s="491"/>
      <c r="H1" s="492"/>
    </row>
    <row r="2" spans="1:8" ht="15" customHeight="1" x14ac:dyDescent="0.25">
      <c r="A2" s="496" t="s">
        <v>265</v>
      </c>
      <c r="B2" s="497"/>
      <c r="C2" s="497"/>
      <c r="D2" s="497"/>
      <c r="E2" s="497"/>
      <c r="F2" s="497"/>
      <c r="G2" s="497"/>
      <c r="H2" s="498"/>
    </row>
    <row r="3" spans="1:8" ht="30" customHeight="1" x14ac:dyDescent="0.25">
      <c r="A3" s="127" t="s">
        <v>222</v>
      </c>
      <c r="B3" s="172" t="s">
        <v>264</v>
      </c>
      <c r="C3" s="172" t="s">
        <v>173</v>
      </c>
      <c r="D3" s="172" t="s">
        <v>174</v>
      </c>
      <c r="E3" s="172" t="s">
        <v>224</v>
      </c>
      <c r="F3" s="164" t="s">
        <v>175</v>
      </c>
      <c r="G3" s="164" t="s">
        <v>190</v>
      </c>
      <c r="H3" s="169" t="s">
        <v>191</v>
      </c>
    </row>
    <row r="4" spans="1:8" ht="15" customHeight="1" x14ac:dyDescent="0.25">
      <c r="A4" s="180">
        <v>1</v>
      </c>
      <c r="B4" s="300" t="s">
        <v>314</v>
      </c>
      <c r="C4" s="299" t="s">
        <v>357</v>
      </c>
      <c r="D4" s="181">
        <v>22</v>
      </c>
      <c r="E4" s="173">
        <f>D4*12</f>
        <v>264</v>
      </c>
      <c r="F4" s="128">
        <v>6</v>
      </c>
      <c r="G4" s="128">
        <f>F4*E4</f>
        <v>1584</v>
      </c>
      <c r="H4" s="174">
        <f>F4*D4</f>
        <v>132</v>
      </c>
    </row>
    <row r="5" spans="1:8" ht="15" customHeight="1" x14ac:dyDescent="0.25">
      <c r="A5" s="180">
        <v>2</v>
      </c>
      <c r="B5" s="299" t="s">
        <v>315</v>
      </c>
      <c r="C5" s="299" t="s">
        <v>358</v>
      </c>
      <c r="D5" s="181">
        <v>4</v>
      </c>
      <c r="E5" s="173">
        <f t="shared" ref="E5:E35" si="0">D5*12</f>
        <v>48</v>
      </c>
      <c r="F5" s="128">
        <v>6.53</v>
      </c>
      <c r="G5" s="128">
        <f>F5*E5</f>
        <v>313.44</v>
      </c>
      <c r="H5" s="174">
        <f>F5*D5</f>
        <v>26.12</v>
      </c>
    </row>
    <row r="6" spans="1:8" ht="15" customHeight="1" x14ac:dyDescent="0.25">
      <c r="A6" s="180">
        <v>3</v>
      </c>
      <c r="B6" s="299" t="s">
        <v>316</v>
      </c>
      <c r="C6" s="299" t="s">
        <v>357</v>
      </c>
      <c r="D6" s="181">
        <v>12</v>
      </c>
      <c r="E6" s="173">
        <f t="shared" si="0"/>
        <v>144</v>
      </c>
      <c r="F6" s="128">
        <v>6.53</v>
      </c>
      <c r="G6" s="128">
        <f>F6*E6</f>
        <v>940.32</v>
      </c>
      <c r="H6" s="174">
        <f>F6*D6</f>
        <v>78.36</v>
      </c>
    </row>
    <row r="7" spans="1:8" ht="15" customHeight="1" x14ac:dyDescent="0.25">
      <c r="A7" s="180">
        <v>4</v>
      </c>
      <c r="B7" s="299" t="s">
        <v>317</v>
      </c>
      <c r="C7" s="299" t="s">
        <v>357</v>
      </c>
      <c r="D7" s="181">
        <v>9</v>
      </c>
      <c r="E7" s="173">
        <f t="shared" si="0"/>
        <v>108</v>
      </c>
      <c r="F7" s="128">
        <v>5.94</v>
      </c>
      <c r="G7" s="128">
        <f>F7*E7</f>
        <v>641.52</v>
      </c>
      <c r="H7" s="174">
        <f>F7*D7</f>
        <v>53.46</v>
      </c>
    </row>
    <row r="8" spans="1:8" ht="15" customHeight="1" x14ac:dyDescent="0.25">
      <c r="A8" s="180">
        <v>5</v>
      </c>
      <c r="B8" s="299" t="s">
        <v>318</v>
      </c>
      <c r="C8" s="299" t="s">
        <v>357</v>
      </c>
      <c r="D8" s="197">
        <v>21</v>
      </c>
      <c r="E8" s="173">
        <f t="shared" si="0"/>
        <v>252</v>
      </c>
      <c r="F8" s="128">
        <v>4</v>
      </c>
      <c r="G8" s="128">
        <f>F8*E8</f>
        <v>1008</v>
      </c>
      <c r="H8" s="174">
        <f>F8*D8</f>
        <v>84</v>
      </c>
    </row>
    <row r="9" spans="1:8" ht="15" customHeight="1" x14ac:dyDescent="0.25">
      <c r="A9" s="180">
        <v>6</v>
      </c>
      <c r="B9" s="299" t="s">
        <v>319</v>
      </c>
      <c r="C9" s="299" t="s">
        <v>357</v>
      </c>
      <c r="D9" s="181">
        <v>10</v>
      </c>
      <c r="E9" s="173">
        <f t="shared" si="0"/>
        <v>120</v>
      </c>
      <c r="F9" s="128">
        <v>6.21</v>
      </c>
      <c r="G9" s="128">
        <f>F9*E9</f>
        <v>745.2</v>
      </c>
      <c r="H9" s="174">
        <f>F9*D9</f>
        <v>62.1</v>
      </c>
    </row>
    <row r="10" spans="1:8" ht="15" customHeight="1" x14ac:dyDescent="0.25">
      <c r="A10" s="180">
        <v>7</v>
      </c>
      <c r="B10" s="299" t="s">
        <v>320</v>
      </c>
      <c r="C10" s="299" t="s">
        <v>355</v>
      </c>
      <c r="D10" s="181">
        <v>8</v>
      </c>
      <c r="E10" s="173">
        <f t="shared" si="0"/>
        <v>96</v>
      </c>
      <c r="F10" s="128">
        <v>1.2</v>
      </c>
      <c r="G10" s="128">
        <f>F10*E10</f>
        <v>115.2</v>
      </c>
      <c r="H10" s="174">
        <f>F10*D10</f>
        <v>9.6</v>
      </c>
    </row>
    <row r="11" spans="1:8" ht="15" customHeight="1" x14ac:dyDescent="0.25">
      <c r="A11" s="180">
        <v>8</v>
      </c>
      <c r="B11" s="299" t="s">
        <v>321</v>
      </c>
      <c r="C11" s="299" t="s">
        <v>359</v>
      </c>
      <c r="D11" s="181">
        <v>5</v>
      </c>
      <c r="E11" s="173">
        <f t="shared" si="0"/>
        <v>60</v>
      </c>
      <c r="F11" s="128">
        <v>6.9</v>
      </c>
      <c r="G11" s="128">
        <f>F11*E11</f>
        <v>414</v>
      </c>
      <c r="H11" s="174">
        <f>F11*D11</f>
        <v>34.5</v>
      </c>
    </row>
    <row r="12" spans="1:8" ht="15" customHeight="1" x14ac:dyDescent="0.25">
      <c r="A12" s="180">
        <v>9</v>
      </c>
      <c r="B12" s="299" t="s">
        <v>322</v>
      </c>
      <c r="C12" s="299" t="s">
        <v>359</v>
      </c>
      <c r="D12" s="181">
        <v>5</v>
      </c>
      <c r="E12" s="173">
        <f t="shared" si="0"/>
        <v>60</v>
      </c>
      <c r="F12" s="128">
        <v>2.25</v>
      </c>
      <c r="G12" s="128">
        <f>F12*E12</f>
        <v>135</v>
      </c>
      <c r="H12" s="174">
        <f>F12*D12</f>
        <v>11.25</v>
      </c>
    </row>
    <row r="13" spans="1:8" ht="15" customHeight="1" x14ac:dyDescent="0.25">
      <c r="A13" s="180">
        <v>10</v>
      </c>
      <c r="B13" s="299" t="s">
        <v>323</v>
      </c>
      <c r="C13" s="299" t="s">
        <v>355</v>
      </c>
      <c r="D13" s="181">
        <v>120</v>
      </c>
      <c r="E13" s="173">
        <f t="shared" si="0"/>
        <v>1440</v>
      </c>
      <c r="F13" s="128">
        <v>0.3</v>
      </c>
      <c r="G13" s="128">
        <f>F13*E13</f>
        <v>432</v>
      </c>
      <c r="H13" s="174">
        <f>F13*D13</f>
        <v>36</v>
      </c>
    </row>
    <row r="14" spans="1:8" ht="15" customHeight="1" x14ac:dyDescent="0.25">
      <c r="A14" s="180">
        <v>11</v>
      </c>
      <c r="B14" s="299" t="s">
        <v>324</v>
      </c>
      <c r="C14" s="299" t="s">
        <v>360</v>
      </c>
      <c r="D14" s="181">
        <v>2</v>
      </c>
      <c r="E14" s="173">
        <f t="shared" si="0"/>
        <v>24</v>
      </c>
      <c r="F14" s="128">
        <v>8.7799999999999994</v>
      </c>
      <c r="G14" s="128">
        <f>F14*E14</f>
        <v>210.72</v>
      </c>
      <c r="H14" s="174">
        <f>F14*D14</f>
        <v>17.559999999999999</v>
      </c>
    </row>
    <row r="15" spans="1:8" ht="15" customHeight="1" x14ac:dyDescent="0.25">
      <c r="A15" s="180">
        <v>12</v>
      </c>
      <c r="B15" s="299" t="s">
        <v>325</v>
      </c>
      <c r="C15" s="299" t="s">
        <v>361</v>
      </c>
      <c r="D15" s="197">
        <v>1</v>
      </c>
      <c r="E15" s="173">
        <f t="shared" si="0"/>
        <v>12</v>
      </c>
      <c r="F15" s="128">
        <f>3*12</f>
        <v>36</v>
      </c>
      <c r="G15" s="128">
        <f>F15*E15</f>
        <v>432</v>
      </c>
      <c r="H15" s="174">
        <f>F15*D15</f>
        <v>36</v>
      </c>
    </row>
    <row r="16" spans="1:8" ht="15" customHeight="1" x14ac:dyDescent="0.25">
      <c r="A16" s="180">
        <v>13</v>
      </c>
      <c r="B16" s="299" t="s">
        <v>326</v>
      </c>
      <c r="C16" s="299" t="s">
        <v>355</v>
      </c>
      <c r="D16" s="181">
        <v>6</v>
      </c>
      <c r="E16" s="173">
        <f t="shared" si="0"/>
        <v>72</v>
      </c>
      <c r="F16" s="128">
        <v>3.43</v>
      </c>
      <c r="G16" s="128">
        <f>F16*E16</f>
        <v>246.96</v>
      </c>
      <c r="H16" s="174">
        <f>F16*D16</f>
        <v>20.58</v>
      </c>
    </row>
    <row r="17" spans="1:16" ht="15" customHeight="1" x14ac:dyDescent="0.25">
      <c r="A17" s="180">
        <v>14</v>
      </c>
      <c r="B17" s="299" t="s">
        <v>327</v>
      </c>
      <c r="C17" s="299" t="s">
        <v>355</v>
      </c>
      <c r="D17" s="181">
        <v>6</v>
      </c>
      <c r="E17" s="173">
        <f t="shared" si="0"/>
        <v>72</v>
      </c>
      <c r="F17" s="128">
        <v>1.78</v>
      </c>
      <c r="G17" s="128">
        <f>F17*E17</f>
        <v>128.16</v>
      </c>
      <c r="H17" s="174">
        <f>F17*D17</f>
        <v>10.68</v>
      </c>
    </row>
    <row r="18" spans="1:16" ht="15" customHeight="1" x14ac:dyDescent="0.25">
      <c r="A18" s="180">
        <v>15</v>
      </c>
      <c r="B18" s="300" t="s">
        <v>328</v>
      </c>
      <c r="C18" s="299" t="s">
        <v>357</v>
      </c>
      <c r="D18" s="181">
        <v>5</v>
      </c>
      <c r="E18" s="173">
        <f t="shared" si="0"/>
        <v>60</v>
      </c>
      <c r="F18" s="128">
        <f>143.14/5</f>
        <v>28.63</v>
      </c>
      <c r="G18" s="128">
        <f>F18*E18</f>
        <v>1717.8</v>
      </c>
      <c r="H18" s="174">
        <f>F18*D18</f>
        <v>143.15</v>
      </c>
    </row>
    <row r="19" spans="1:16" ht="15" customHeight="1" x14ac:dyDescent="0.25">
      <c r="A19" s="180">
        <v>16</v>
      </c>
      <c r="B19" s="300" t="s">
        <v>329</v>
      </c>
      <c r="C19" s="299" t="s">
        <v>355</v>
      </c>
      <c r="D19" s="181">
        <v>1</v>
      </c>
      <c r="E19" s="173">
        <f t="shared" si="0"/>
        <v>12</v>
      </c>
      <c r="F19" s="128">
        <v>4.8</v>
      </c>
      <c r="G19" s="128">
        <f>F19*E19</f>
        <v>57.6</v>
      </c>
      <c r="H19" s="174">
        <f>F19*D19</f>
        <v>4.8</v>
      </c>
    </row>
    <row r="20" spans="1:16" ht="15" customHeight="1" x14ac:dyDescent="0.25">
      <c r="A20" s="180">
        <v>17</v>
      </c>
      <c r="B20" s="300" t="s">
        <v>330</v>
      </c>
      <c r="C20" s="299" t="s">
        <v>355</v>
      </c>
      <c r="D20" s="181">
        <v>7</v>
      </c>
      <c r="E20" s="173">
        <f t="shared" si="0"/>
        <v>84</v>
      </c>
      <c r="F20" s="128">
        <v>0.98</v>
      </c>
      <c r="G20" s="128">
        <f>F20*E20</f>
        <v>82.32</v>
      </c>
      <c r="H20" s="174">
        <f>F20*D20</f>
        <v>6.86</v>
      </c>
    </row>
    <row r="21" spans="1:16" ht="15" customHeight="1" x14ac:dyDescent="0.25">
      <c r="A21" s="180">
        <v>18</v>
      </c>
      <c r="B21" s="300" t="s">
        <v>331</v>
      </c>
      <c r="C21" s="299" t="s">
        <v>355</v>
      </c>
      <c r="D21" s="181">
        <v>5</v>
      </c>
      <c r="E21" s="173">
        <f t="shared" si="0"/>
        <v>60</v>
      </c>
      <c r="F21" s="128">
        <v>35</v>
      </c>
      <c r="G21" s="128">
        <f>F21*E21</f>
        <v>2100</v>
      </c>
      <c r="H21" s="174">
        <f>F21*D21</f>
        <v>175</v>
      </c>
    </row>
    <row r="22" spans="1:16" ht="15" customHeight="1" x14ac:dyDescent="0.25">
      <c r="A22" s="180">
        <v>19</v>
      </c>
      <c r="B22" s="300" t="s">
        <v>332</v>
      </c>
      <c r="C22" s="299" t="s">
        <v>355</v>
      </c>
      <c r="D22" s="181">
        <v>28</v>
      </c>
      <c r="E22" s="173">
        <f t="shared" si="0"/>
        <v>336</v>
      </c>
      <c r="F22" s="128">
        <v>9.6</v>
      </c>
      <c r="G22" s="128">
        <f>F22*E22</f>
        <v>3225.6</v>
      </c>
      <c r="H22" s="174">
        <f>F22*D22</f>
        <v>268.8</v>
      </c>
    </row>
    <row r="23" spans="1:16" ht="15" customHeight="1" x14ac:dyDescent="0.25">
      <c r="A23" s="180">
        <v>20</v>
      </c>
      <c r="B23" s="300" t="s">
        <v>333</v>
      </c>
      <c r="C23" s="299" t="s">
        <v>355</v>
      </c>
      <c r="D23" s="181">
        <v>123</v>
      </c>
      <c r="E23" s="173">
        <f t="shared" si="0"/>
        <v>1476</v>
      </c>
      <c r="F23" s="128">
        <f>7/8</f>
        <v>0.88</v>
      </c>
      <c r="G23" s="128">
        <f>F23*E23</f>
        <v>1298.8800000000001</v>
      </c>
      <c r="H23" s="174">
        <f>F23*D23</f>
        <v>108.24</v>
      </c>
    </row>
    <row r="24" spans="1:16" ht="15" customHeight="1" x14ac:dyDescent="0.25">
      <c r="A24" s="180">
        <v>21</v>
      </c>
      <c r="B24" s="300" t="s">
        <v>334</v>
      </c>
      <c r="C24" s="299" t="s">
        <v>362</v>
      </c>
      <c r="D24" s="181">
        <v>40</v>
      </c>
      <c r="E24" s="173">
        <f t="shared" si="0"/>
        <v>480</v>
      </c>
      <c r="F24" s="128">
        <v>8.8000000000000007</v>
      </c>
      <c r="G24" s="128">
        <f>F24*E24</f>
        <v>4224</v>
      </c>
      <c r="H24" s="174">
        <f>F24*D24</f>
        <v>352</v>
      </c>
    </row>
    <row r="25" spans="1:16" ht="15" customHeight="1" x14ac:dyDescent="0.25">
      <c r="A25" s="177">
        <v>22</v>
      </c>
      <c r="B25" s="300" t="s">
        <v>335</v>
      </c>
      <c r="C25" s="299" t="s">
        <v>355</v>
      </c>
      <c r="D25" s="181">
        <v>5</v>
      </c>
      <c r="E25" s="173">
        <f t="shared" si="0"/>
        <v>60</v>
      </c>
      <c r="F25" s="128">
        <v>3</v>
      </c>
      <c r="G25" s="128">
        <f>F25*E25</f>
        <v>180</v>
      </c>
      <c r="H25" s="174">
        <f>F25*D25</f>
        <v>15</v>
      </c>
    </row>
    <row r="26" spans="1:16" ht="15" customHeight="1" x14ac:dyDescent="0.25">
      <c r="A26" s="180">
        <v>23</v>
      </c>
      <c r="B26" s="300" t="s">
        <v>336</v>
      </c>
      <c r="C26" s="299" t="s">
        <v>355</v>
      </c>
      <c r="D26" s="181">
        <v>659</v>
      </c>
      <c r="E26" s="173">
        <f t="shared" si="0"/>
        <v>7908</v>
      </c>
      <c r="F26" s="128">
        <f>28.5/100</f>
        <v>0.28999999999999998</v>
      </c>
      <c r="G26" s="128">
        <f>F26*E26</f>
        <v>2293.3200000000002</v>
      </c>
      <c r="H26" s="174">
        <f>F26*D26</f>
        <v>191.11</v>
      </c>
    </row>
    <row r="27" spans="1:16" ht="15" customHeight="1" x14ac:dyDescent="0.25">
      <c r="A27" s="180">
        <v>24</v>
      </c>
      <c r="B27" s="300" t="s">
        <v>337</v>
      </c>
      <c r="C27" s="299" t="s">
        <v>355</v>
      </c>
      <c r="D27" s="181">
        <v>184</v>
      </c>
      <c r="E27" s="173">
        <f t="shared" si="0"/>
        <v>2208</v>
      </c>
      <c r="F27" s="128">
        <f>14.1/100</f>
        <v>0.14000000000000001</v>
      </c>
      <c r="G27" s="128">
        <f>F27*E27</f>
        <v>309.12</v>
      </c>
      <c r="H27" s="174">
        <f>F27*D27</f>
        <v>25.76</v>
      </c>
    </row>
    <row r="28" spans="1:16" ht="15" customHeight="1" x14ac:dyDescent="0.25">
      <c r="A28" s="180">
        <v>25</v>
      </c>
      <c r="B28" s="300" t="s">
        <v>338</v>
      </c>
      <c r="C28" s="299" t="s">
        <v>355</v>
      </c>
      <c r="D28" s="181">
        <v>300</v>
      </c>
      <c r="E28" s="173">
        <f t="shared" si="0"/>
        <v>3600</v>
      </c>
      <c r="F28" s="128">
        <f>8.41/100</f>
        <v>0.08</v>
      </c>
      <c r="G28" s="128">
        <f>F28*E28</f>
        <v>288</v>
      </c>
      <c r="H28" s="174">
        <f>F28*D28</f>
        <v>24</v>
      </c>
    </row>
    <row r="29" spans="1:16" ht="15" customHeight="1" x14ac:dyDescent="0.25">
      <c r="A29" s="180">
        <v>26</v>
      </c>
      <c r="B29" s="300" t="s">
        <v>339</v>
      </c>
      <c r="C29" s="299" t="s">
        <v>355</v>
      </c>
      <c r="D29" s="181">
        <v>225</v>
      </c>
      <c r="E29" s="173">
        <f t="shared" si="0"/>
        <v>2700</v>
      </c>
      <c r="F29" s="128">
        <f>7.58/100</f>
        <v>0.08</v>
      </c>
      <c r="G29" s="128">
        <f>F29*E29</f>
        <v>216</v>
      </c>
      <c r="H29" s="174">
        <f>F29*D29</f>
        <v>18</v>
      </c>
      <c r="P29" s="168"/>
    </row>
    <row r="30" spans="1:16" ht="15" customHeight="1" x14ac:dyDescent="0.25">
      <c r="A30" s="180">
        <v>27</v>
      </c>
      <c r="B30" s="300" t="s">
        <v>340</v>
      </c>
      <c r="C30" s="299" t="s">
        <v>357</v>
      </c>
      <c r="D30" s="197">
        <v>4</v>
      </c>
      <c r="E30" s="173">
        <f t="shared" si="0"/>
        <v>48</v>
      </c>
      <c r="F30" s="128">
        <f>3.52*2</f>
        <v>7.04</v>
      </c>
      <c r="G30" s="128">
        <f>F30*E30</f>
        <v>337.92</v>
      </c>
      <c r="H30" s="174">
        <f>F30*D30</f>
        <v>28.16</v>
      </c>
      <c r="P30" s="168"/>
    </row>
    <row r="31" spans="1:16" ht="15" customHeight="1" x14ac:dyDescent="0.25">
      <c r="A31" s="180">
        <v>28</v>
      </c>
      <c r="B31" s="300" t="s">
        <v>341</v>
      </c>
      <c r="C31" s="299" t="s">
        <v>357</v>
      </c>
      <c r="D31" s="197">
        <v>4</v>
      </c>
      <c r="E31" s="173">
        <f t="shared" si="0"/>
        <v>48</v>
      </c>
      <c r="F31" s="128">
        <v>6.21</v>
      </c>
      <c r="G31" s="128">
        <f>F31*E31</f>
        <v>298.08</v>
      </c>
      <c r="H31" s="174">
        <f>F31*D31</f>
        <v>24.84</v>
      </c>
      <c r="P31" s="168"/>
    </row>
    <row r="32" spans="1:16" ht="15" customHeight="1" x14ac:dyDescent="0.25">
      <c r="A32" s="177">
        <v>29</v>
      </c>
      <c r="B32" s="294" t="s">
        <v>342</v>
      </c>
      <c r="C32" s="178" t="s">
        <v>355</v>
      </c>
      <c r="D32" s="198">
        <v>2</v>
      </c>
      <c r="E32" s="173">
        <f t="shared" si="0"/>
        <v>24</v>
      </c>
      <c r="F32" s="128">
        <v>3.1</v>
      </c>
      <c r="G32" s="175">
        <f>F32*E32</f>
        <v>74.400000000000006</v>
      </c>
      <c r="H32" s="176">
        <f>F32*D32</f>
        <v>6.2</v>
      </c>
      <c r="P32" s="168"/>
    </row>
    <row r="33" spans="1:8" ht="15" customHeight="1" x14ac:dyDescent="0.25">
      <c r="A33" s="180">
        <v>30</v>
      </c>
      <c r="B33" s="300" t="s">
        <v>343</v>
      </c>
      <c r="C33" s="299" t="s">
        <v>357</v>
      </c>
      <c r="D33" s="197">
        <v>2</v>
      </c>
      <c r="E33" s="173">
        <f t="shared" si="0"/>
        <v>24</v>
      </c>
      <c r="F33" s="128">
        <v>37.479999999999997</v>
      </c>
      <c r="G33" s="128">
        <f>F33*E33</f>
        <v>899.52</v>
      </c>
      <c r="H33" s="174">
        <f>F33*D33</f>
        <v>74.959999999999994</v>
      </c>
    </row>
    <row r="34" spans="1:8" ht="15" customHeight="1" x14ac:dyDescent="0.25">
      <c r="A34" s="180">
        <v>31</v>
      </c>
      <c r="B34" s="300" t="s">
        <v>344</v>
      </c>
      <c r="C34" s="178" t="s">
        <v>355</v>
      </c>
      <c r="D34" s="197">
        <v>50</v>
      </c>
      <c r="E34" s="173">
        <f t="shared" si="0"/>
        <v>600</v>
      </c>
      <c r="F34" s="128">
        <v>0.91</v>
      </c>
      <c r="G34" s="128">
        <f>F34*E34</f>
        <v>546</v>
      </c>
      <c r="H34" s="174">
        <f>F34*D34</f>
        <v>45.5</v>
      </c>
    </row>
    <row r="35" spans="1:8" ht="15" customHeight="1" thickBot="1" x14ac:dyDescent="0.3">
      <c r="A35" s="177">
        <v>32</v>
      </c>
      <c r="B35" s="294" t="s">
        <v>345</v>
      </c>
      <c r="C35" s="178" t="s">
        <v>362</v>
      </c>
      <c r="D35" s="198">
        <v>2</v>
      </c>
      <c r="E35" s="173">
        <f t="shared" si="0"/>
        <v>24</v>
      </c>
      <c r="F35" s="128">
        <v>2.02</v>
      </c>
      <c r="G35" s="175">
        <f>F35*E35</f>
        <v>48.48</v>
      </c>
      <c r="H35" s="176">
        <f>F35*D35</f>
        <v>4.04</v>
      </c>
    </row>
    <row r="36" spans="1:8" ht="15" customHeight="1" thickBot="1" x14ac:dyDescent="0.3">
      <c r="A36" s="502" t="s">
        <v>262</v>
      </c>
      <c r="B36" s="503"/>
      <c r="C36" s="503"/>
      <c r="D36" s="503"/>
      <c r="E36" s="503"/>
      <c r="F36" s="503"/>
      <c r="G36" s="503"/>
      <c r="H36" s="504"/>
    </row>
    <row r="37" spans="1:8" ht="30" customHeight="1" x14ac:dyDescent="0.25">
      <c r="A37" s="170" t="s">
        <v>222</v>
      </c>
      <c r="B37" s="165" t="s">
        <v>264</v>
      </c>
      <c r="C37" s="165" t="s">
        <v>173</v>
      </c>
      <c r="D37" s="165" t="s">
        <v>174</v>
      </c>
      <c r="E37" s="172" t="s">
        <v>224</v>
      </c>
      <c r="F37" s="166" t="s">
        <v>175</v>
      </c>
      <c r="G37" s="167" t="s">
        <v>190</v>
      </c>
      <c r="H37" s="171" t="s">
        <v>191</v>
      </c>
    </row>
    <row r="38" spans="1:8" ht="15" customHeight="1" x14ac:dyDescent="0.25">
      <c r="A38" s="259">
        <v>33</v>
      </c>
      <c r="B38" s="260" t="s">
        <v>346</v>
      </c>
      <c r="C38" s="273" t="s">
        <v>355</v>
      </c>
      <c r="D38" s="261">
        <v>1</v>
      </c>
      <c r="E38" s="262">
        <f>D38*6</f>
        <v>6</v>
      </c>
      <c r="F38" s="263">
        <v>4.88</v>
      </c>
      <c r="G38" s="263">
        <f>F38*E38</f>
        <v>29.28</v>
      </c>
      <c r="H38" s="264">
        <f>G38/12</f>
        <v>2.44</v>
      </c>
    </row>
    <row r="39" spans="1:8" ht="15" x14ac:dyDescent="0.25">
      <c r="A39" s="180">
        <v>34</v>
      </c>
      <c r="B39" s="274" t="s">
        <v>347</v>
      </c>
      <c r="C39" s="274" t="s">
        <v>355</v>
      </c>
      <c r="D39" s="181">
        <v>1</v>
      </c>
      <c r="E39" s="238">
        <f t="shared" ref="E39:E41" si="1">D39*6</f>
        <v>6</v>
      </c>
      <c r="F39" s="128">
        <v>7.58</v>
      </c>
      <c r="G39" s="263">
        <f>F39*E39</f>
        <v>45.48</v>
      </c>
      <c r="H39" s="174">
        <f>G39/12</f>
        <v>3.79</v>
      </c>
    </row>
    <row r="40" spans="1:8" ht="15" x14ac:dyDescent="0.25">
      <c r="A40" s="180">
        <v>35</v>
      </c>
      <c r="B40" s="274" t="s">
        <v>348</v>
      </c>
      <c r="C40" s="274" t="s">
        <v>355</v>
      </c>
      <c r="D40" s="181">
        <v>1</v>
      </c>
      <c r="E40" s="238">
        <f t="shared" si="1"/>
        <v>6</v>
      </c>
      <c r="F40" s="128">
        <v>8.99</v>
      </c>
      <c r="G40" s="263">
        <f>F40*E40</f>
        <v>53.94</v>
      </c>
      <c r="H40" s="174">
        <f>G40/12</f>
        <v>4.5</v>
      </c>
    </row>
    <row r="41" spans="1:8" ht="15.75" thickBot="1" x14ac:dyDescent="0.3">
      <c r="A41" s="177">
        <v>36</v>
      </c>
      <c r="B41" s="178" t="s">
        <v>349</v>
      </c>
      <c r="C41" s="178" t="s">
        <v>356</v>
      </c>
      <c r="D41" s="179">
        <v>1</v>
      </c>
      <c r="E41" s="238">
        <f t="shared" si="1"/>
        <v>6</v>
      </c>
      <c r="F41" s="175">
        <v>20.22</v>
      </c>
      <c r="G41" s="263">
        <f>F41*E41</f>
        <v>121.32</v>
      </c>
      <c r="H41" s="174">
        <f>G41/12</f>
        <v>10.11</v>
      </c>
    </row>
    <row r="42" spans="1:8" ht="15.75" customHeight="1" thickBot="1" x14ac:dyDescent="0.3">
      <c r="A42" s="502" t="s">
        <v>263</v>
      </c>
      <c r="B42" s="503"/>
      <c r="C42" s="503"/>
      <c r="D42" s="503"/>
      <c r="E42" s="503"/>
      <c r="F42" s="503"/>
      <c r="G42" s="503"/>
      <c r="H42" s="504"/>
    </row>
    <row r="43" spans="1:8" ht="30" customHeight="1" x14ac:dyDescent="0.25">
      <c r="A43" s="265" t="s">
        <v>222</v>
      </c>
      <c r="B43" s="266" t="s">
        <v>264</v>
      </c>
      <c r="C43" s="266" t="s">
        <v>173</v>
      </c>
      <c r="D43" s="266" t="s">
        <v>174</v>
      </c>
      <c r="E43" s="172" t="s">
        <v>224</v>
      </c>
      <c r="F43" s="182" t="s">
        <v>175</v>
      </c>
      <c r="G43" s="257" t="s">
        <v>190</v>
      </c>
      <c r="H43" s="258" t="s">
        <v>191</v>
      </c>
    </row>
    <row r="44" spans="1:8" ht="15" x14ac:dyDescent="0.25">
      <c r="A44" s="180">
        <v>37</v>
      </c>
      <c r="B44" s="298" t="s">
        <v>350</v>
      </c>
      <c r="C44" s="298" t="s">
        <v>355</v>
      </c>
      <c r="D44" s="181">
        <v>1</v>
      </c>
      <c r="E44" s="238">
        <f>D44*2</f>
        <v>2</v>
      </c>
      <c r="F44" s="128">
        <v>16.84</v>
      </c>
      <c r="G44" s="128">
        <f>F44*E44</f>
        <v>33.68</v>
      </c>
      <c r="H44" s="174">
        <f>G44/12</f>
        <v>2.81</v>
      </c>
    </row>
    <row r="45" spans="1:8" ht="15" x14ac:dyDescent="0.25">
      <c r="A45" s="180">
        <v>38</v>
      </c>
      <c r="B45" s="298" t="s">
        <v>351</v>
      </c>
      <c r="C45" s="298" t="s">
        <v>355</v>
      </c>
      <c r="D45" s="181">
        <v>2</v>
      </c>
      <c r="E45" s="238">
        <f t="shared" ref="E45:E48" si="2">D45*2</f>
        <v>4</v>
      </c>
      <c r="F45" s="128">
        <v>4.9800000000000004</v>
      </c>
      <c r="G45" s="128">
        <f>F45*E45</f>
        <v>19.920000000000002</v>
      </c>
      <c r="H45" s="174">
        <f>G45/12</f>
        <v>1.66</v>
      </c>
    </row>
    <row r="46" spans="1:8" ht="15" x14ac:dyDescent="0.25">
      <c r="A46" s="180">
        <v>39</v>
      </c>
      <c r="B46" s="298" t="s">
        <v>352</v>
      </c>
      <c r="C46" s="298" t="s">
        <v>355</v>
      </c>
      <c r="D46" s="181">
        <v>2</v>
      </c>
      <c r="E46" s="238">
        <f t="shared" si="2"/>
        <v>4</v>
      </c>
      <c r="F46" s="128">
        <v>8.24</v>
      </c>
      <c r="G46" s="128">
        <f>F46*E46</f>
        <v>32.96</v>
      </c>
      <c r="H46" s="174">
        <f>G46/12</f>
        <v>2.75</v>
      </c>
    </row>
    <row r="47" spans="1:8" ht="15" x14ac:dyDescent="0.25">
      <c r="A47" s="180">
        <v>40</v>
      </c>
      <c r="B47" s="298" t="s">
        <v>353</v>
      </c>
      <c r="C47" s="298" t="s">
        <v>355</v>
      </c>
      <c r="D47" s="181">
        <v>1</v>
      </c>
      <c r="E47" s="238">
        <f t="shared" si="2"/>
        <v>2</v>
      </c>
      <c r="F47" s="128">
        <v>13</v>
      </c>
      <c r="G47" s="128">
        <f>F47*E47</f>
        <v>26</v>
      </c>
      <c r="H47" s="174">
        <f>G47/12</f>
        <v>2.17</v>
      </c>
    </row>
    <row r="48" spans="1:8" ht="15.75" thickBot="1" x14ac:dyDescent="0.3">
      <c r="A48" s="177">
        <v>41</v>
      </c>
      <c r="B48" s="178" t="s">
        <v>354</v>
      </c>
      <c r="C48" s="298" t="s">
        <v>355</v>
      </c>
      <c r="D48" s="179">
        <v>2</v>
      </c>
      <c r="E48" s="238">
        <f t="shared" si="2"/>
        <v>4</v>
      </c>
      <c r="F48" s="175">
        <v>10.16</v>
      </c>
      <c r="G48" s="128">
        <f>F48*E48</f>
        <v>40.64</v>
      </c>
      <c r="H48" s="176">
        <f>G48/12</f>
        <v>3.39</v>
      </c>
    </row>
    <row r="49" spans="1:8" ht="15.75" thickBot="1" x14ac:dyDescent="0.3">
      <c r="A49" s="475"/>
      <c r="B49" s="476"/>
      <c r="C49" s="476"/>
      <c r="D49" s="476"/>
      <c r="E49" s="476"/>
      <c r="F49" s="477"/>
      <c r="G49" s="292">
        <f>SUM(G4:G48)</f>
        <v>25946.78</v>
      </c>
      <c r="H49" s="293">
        <f>SUM(H4:H48)</f>
        <v>2162.25</v>
      </c>
    </row>
    <row r="50" spans="1:8" ht="15.75" thickBot="1" x14ac:dyDescent="0.3">
      <c r="A50" s="499"/>
      <c r="B50" s="500"/>
      <c r="C50" s="500"/>
      <c r="D50" s="500"/>
      <c r="E50" s="500"/>
      <c r="F50" s="500"/>
      <c r="G50" s="500"/>
      <c r="H50" s="501"/>
    </row>
    <row r="51" spans="1:8" ht="15.75" thickBot="1" x14ac:dyDescent="0.3">
      <c r="A51" s="493" t="s">
        <v>223</v>
      </c>
      <c r="B51" s="494"/>
      <c r="C51" s="494"/>
      <c r="D51" s="494"/>
      <c r="E51" s="494"/>
      <c r="F51" s="494"/>
      <c r="G51" s="495"/>
      <c r="H51" s="301">
        <f>H49/2</f>
        <v>1081.1300000000001</v>
      </c>
    </row>
    <row r="52" spans="1:8" ht="15.75" thickBot="1" x14ac:dyDescent="0.3">
      <c r="A52" s="478" t="s">
        <v>274</v>
      </c>
      <c r="B52" s="479"/>
      <c r="C52" s="479"/>
      <c r="D52" s="479"/>
      <c r="E52" s="479"/>
      <c r="F52" s="479"/>
      <c r="G52" s="479"/>
      <c r="H52" s="480"/>
    </row>
    <row r="53" spans="1:8" ht="30" customHeight="1" x14ac:dyDescent="0.25">
      <c r="A53" s="484" t="s">
        <v>383</v>
      </c>
      <c r="B53" s="485"/>
      <c r="C53" s="485"/>
      <c r="D53" s="485"/>
      <c r="E53" s="485"/>
      <c r="F53" s="485"/>
      <c r="G53" s="485"/>
      <c r="H53" s="486"/>
    </row>
    <row r="54" spans="1:8" ht="30" customHeight="1" x14ac:dyDescent="0.25">
      <c r="A54" s="487" t="s">
        <v>384</v>
      </c>
      <c r="B54" s="488"/>
      <c r="C54" s="488"/>
      <c r="D54" s="488"/>
      <c r="E54" s="488"/>
      <c r="F54" s="488"/>
      <c r="G54" s="488"/>
      <c r="H54" s="489"/>
    </row>
    <row r="55" spans="1:8" ht="30" customHeight="1" x14ac:dyDescent="0.25">
      <c r="A55" s="469" t="s">
        <v>385</v>
      </c>
      <c r="B55" s="470"/>
      <c r="C55" s="470"/>
      <c r="D55" s="470"/>
      <c r="E55" s="470"/>
      <c r="F55" s="470"/>
      <c r="G55" s="470"/>
      <c r="H55" s="471"/>
    </row>
    <row r="56" spans="1:8" ht="30" customHeight="1" x14ac:dyDescent="0.25">
      <c r="A56" s="481" t="s">
        <v>386</v>
      </c>
      <c r="B56" s="482"/>
      <c r="C56" s="482"/>
      <c r="D56" s="482"/>
      <c r="E56" s="482"/>
      <c r="F56" s="482"/>
      <c r="G56" s="482"/>
      <c r="H56" s="483"/>
    </row>
    <row r="57" spans="1:8" ht="30" customHeight="1" x14ac:dyDescent="0.25">
      <c r="A57" s="469" t="s">
        <v>387</v>
      </c>
      <c r="B57" s="470"/>
      <c r="C57" s="470"/>
      <c r="D57" s="470"/>
      <c r="E57" s="470"/>
      <c r="F57" s="470"/>
      <c r="G57" s="470"/>
      <c r="H57" s="471"/>
    </row>
    <row r="58" spans="1:8" ht="30" customHeight="1" x14ac:dyDescent="0.25">
      <c r="A58" s="469" t="s">
        <v>388</v>
      </c>
      <c r="B58" s="470"/>
      <c r="C58" s="470"/>
      <c r="D58" s="470"/>
      <c r="E58" s="470"/>
      <c r="F58" s="470"/>
      <c r="G58" s="470"/>
      <c r="H58" s="471"/>
    </row>
    <row r="59" spans="1:8" ht="30" customHeight="1" x14ac:dyDescent="0.25">
      <c r="A59" s="469" t="s">
        <v>389</v>
      </c>
      <c r="B59" s="470"/>
      <c r="C59" s="470"/>
      <c r="D59" s="470"/>
      <c r="E59" s="470"/>
      <c r="F59" s="470"/>
      <c r="G59" s="470"/>
      <c r="H59" s="471"/>
    </row>
    <row r="60" spans="1:8" ht="30" customHeight="1" x14ac:dyDescent="0.25">
      <c r="A60" s="469" t="s">
        <v>390</v>
      </c>
      <c r="B60" s="470"/>
      <c r="C60" s="470"/>
      <c r="D60" s="470"/>
      <c r="E60" s="470"/>
      <c r="F60" s="470"/>
      <c r="G60" s="470"/>
      <c r="H60" s="471"/>
    </row>
    <row r="61" spans="1:8" ht="30" customHeight="1" thickBot="1" x14ac:dyDescent="0.3">
      <c r="A61" s="472" t="s">
        <v>391</v>
      </c>
      <c r="B61" s="473"/>
      <c r="C61" s="473"/>
      <c r="D61" s="473"/>
      <c r="E61" s="473"/>
      <c r="F61" s="473"/>
      <c r="G61" s="473"/>
      <c r="H61" s="474"/>
    </row>
  </sheetData>
  <mergeCells count="17">
    <mergeCell ref="A1:H1"/>
    <mergeCell ref="A51:G51"/>
    <mergeCell ref="A2:H2"/>
    <mergeCell ref="A50:H50"/>
    <mergeCell ref="A36:H36"/>
    <mergeCell ref="A42:H42"/>
    <mergeCell ref="A60:H60"/>
    <mergeCell ref="A61:H61"/>
    <mergeCell ref="A58:H58"/>
    <mergeCell ref="A59:H59"/>
    <mergeCell ref="A49:F49"/>
    <mergeCell ref="A52:H52"/>
    <mergeCell ref="A57:H57"/>
    <mergeCell ref="A56:H56"/>
    <mergeCell ref="A53:H53"/>
    <mergeCell ref="A54:H54"/>
    <mergeCell ref="A55:H55"/>
  </mergeCells>
  <pageMargins left="0.7" right="0.7" top="0.75" bottom="0.75" header="0.3" footer="0.3"/>
  <pageSetup paperSize="9"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view="pageBreakPreview" zoomScaleNormal="90" zoomScaleSheetLayoutView="100" workbookViewId="0">
      <selection activeCell="B11" sqref="B11"/>
    </sheetView>
  </sheetViews>
  <sheetFormatPr defaultRowHeight="12.75" x14ac:dyDescent="0.25"/>
  <cols>
    <col min="1" max="1" width="8.7109375" style="126" customWidth="1"/>
    <col min="2" max="2" width="50.7109375" style="126" customWidth="1"/>
    <col min="3" max="8" width="12.7109375" style="126" customWidth="1"/>
    <col min="9" max="16384" width="9.140625" style="126"/>
  </cols>
  <sheetData>
    <row r="1" spans="1:8" ht="15" customHeight="1" thickBot="1" x14ac:dyDescent="0.3">
      <c r="A1" s="508" t="s">
        <v>271</v>
      </c>
      <c r="B1" s="509"/>
      <c r="C1" s="509"/>
      <c r="D1" s="509"/>
      <c r="E1" s="509"/>
      <c r="F1" s="509"/>
      <c r="G1" s="509"/>
      <c r="H1" s="510"/>
    </row>
    <row r="2" spans="1:8" ht="30" customHeight="1" thickBot="1" x14ac:dyDescent="0.3">
      <c r="A2" s="275" t="s">
        <v>222</v>
      </c>
      <c r="B2" s="276" t="s">
        <v>264</v>
      </c>
      <c r="C2" s="276" t="s">
        <v>173</v>
      </c>
      <c r="D2" s="276" t="s">
        <v>174</v>
      </c>
      <c r="E2" s="276" t="s">
        <v>218</v>
      </c>
      <c r="F2" s="277" t="s">
        <v>175</v>
      </c>
      <c r="G2" s="277" t="s">
        <v>273</v>
      </c>
      <c r="H2" s="278" t="s">
        <v>191</v>
      </c>
    </row>
    <row r="3" spans="1:8" ht="90" customHeight="1" x14ac:dyDescent="0.25">
      <c r="A3" s="287">
        <v>42</v>
      </c>
      <c r="B3" s="280" t="s">
        <v>313</v>
      </c>
      <c r="C3" s="281" t="s">
        <v>363</v>
      </c>
      <c r="D3" s="282">
        <v>2</v>
      </c>
      <c r="E3" s="283">
        <v>60</v>
      </c>
      <c r="F3" s="284">
        <v>1362.63</v>
      </c>
      <c r="G3" s="284">
        <f>F3*D3</f>
        <v>2725.26</v>
      </c>
      <c r="H3" s="285">
        <f>G3/E3</f>
        <v>45.42</v>
      </c>
    </row>
    <row r="4" spans="1:8" ht="15" customHeight="1" x14ac:dyDescent="0.25">
      <c r="A4" s="180">
        <v>43</v>
      </c>
      <c r="B4" s="237" t="s">
        <v>364</v>
      </c>
      <c r="C4" s="295" t="s">
        <v>355</v>
      </c>
      <c r="D4" s="181">
        <v>1</v>
      </c>
      <c r="E4" s="279">
        <v>60</v>
      </c>
      <c r="F4" s="128">
        <v>2350</v>
      </c>
      <c r="G4" s="128">
        <f>F4*D4</f>
        <v>2350</v>
      </c>
      <c r="H4" s="174">
        <f>G4/E4</f>
        <v>39.17</v>
      </c>
    </row>
    <row r="5" spans="1:8" ht="15" customHeight="1" x14ac:dyDescent="0.25">
      <c r="A5" s="180">
        <v>44</v>
      </c>
      <c r="B5" s="237" t="s">
        <v>365</v>
      </c>
      <c r="C5" s="295" t="s">
        <v>355</v>
      </c>
      <c r="D5" s="181">
        <v>1</v>
      </c>
      <c r="E5" s="279">
        <v>60</v>
      </c>
      <c r="F5" s="128">
        <v>199.12</v>
      </c>
      <c r="G5" s="128">
        <f>F5*D5</f>
        <v>199.12</v>
      </c>
      <c r="H5" s="174">
        <f>G5/E5</f>
        <v>3.32</v>
      </c>
    </row>
    <row r="6" spans="1:8" ht="15" customHeight="1" x14ac:dyDescent="0.25">
      <c r="A6" s="180">
        <v>45</v>
      </c>
      <c r="B6" s="237" t="s">
        <v>366</v>
      </c>
      <c r="C6" s="295" t="s">
        <v>355</v>
      </c>
      <c r="D6" s="181">
        <v>1</v>
      </c>
      <c r="E6" s="279">
        <v>60</v>
      </c>
      <c r="F6" s="128">
        <v>500.1</v>
      </c>
      <c r="G6" s="128">
        <f>F6*D6</f>
        <v>500.1</v>
      </c>
      <c r="H6" s="174">
        <f>G6/E6</f>
        <v>8.34</v>
      </c>
    </row>
    <row r="7" spans="1:8" ht="15" customHeight="1" x14ac:dyDescent="0.25">
      <c r="A7" s="180">
        <v>46</v>
      </c>
      <c r="B7" s="237" t="s">
        <v>367</v>
      </c>
      <c r="C7" s="295" t="s">
        <v>355</v>
      </c>
      <c r="D7" s="181">
        <v>1</v>
      </c>
      <c r="E7" s="279">
        <v>60</v>
      </c>
      <c r="F7" s="128">
        <v>70</v>
      </c>
      <c r="G7" s="128">
        <f>F7*D7</f>
        <v>70</v>
      </c>
      <c r="H7" s="174">
        <f>G7/E7</f>
        <v>1.17</v>
      </c>
    </row>
    <row r="8" spans="1:8" ht="15" customHeight="1" x14ac:dyDescent="0.25">
      <c r="A8" s="180">
        <v>47</v>
      </c>
      <c r="B8" s="237" t="s">
        <v>368</v>
      </c>
      <c r="C8" s="295" t="s">
        <v>355</v>
      </c>
      <c r="D8" s="181">
        <v>1</v>
      </c>
      <c r="E8" s="279">
        <v>60</v>
      </c>
      <c r="F8" s="128">
        <v>44.95</v>
      </c>
      <c r="G8" s="128">
        <f>F8*D8</f>
        <v>44.95</v>
      </c>
      <c r="H8" s="174">
        <f>G8/E8</f>
        <v>0.75</v>
      </c>
    </row>
    <row r="9" spans="1:8" ht="15" customHeight="1" x14ac:dyDescent="0.25">
      <c r="A9" s="180">
        <v>48</v>
      </c>
      <c r="B9" s="237" t="s">
        <v>369</v>
      </c>
      <c r="C9" s="295" t="s">
        <v>355</v>
      </c>
      <c r="D9" s="181">
        <v>1</v>
      </c>
      <c r="E9" s="279">
        <v>60</v>
      </c>
      <c r="F9" s="128">
        <v>38.9</v>
      </c>
      <c r="G9" s="128">
        <f>F9*D9</f>
        <v>38.9</v>
      </c>
      <c r="H9" s="174">
        <f>G9/E9</f>
        <v>0.65</v>
      </c>
    </row>
    <row r="10" spans="1:8" ht="15" customHeight="1" x14ac:dyDescent="0.25">
      <c r="A10" s="180">
        <v>49</v>
      </c>
      <c r="B10" s="237" t="s">
        <v>370</v>
      </c>
      <c r="C10" s="295" t="s">
        <v>355</v>
      </c>
      <c r="D10" s="181">
        <v>1</v>
      </c>
      <c r="E10" s="279">
        <v>60</v>
      </c>
      <c r="F10" s="128">
        <v>17.8</v>
      </c>
      <c r="G10" s="128">
        <f>F10*D10</f>
        <v>17.8</v>
      </c>
      <c r="H10" s="174">
        <f>G10/E10</f>
        <v>0.3</v>
      </c>
    </row>
    <row r="11" spans="1:8" ht="15" customHeight="1" x14ac:dyDescent="0.25">
      <c r="A11" s="180">
        <v>50</v>
      </c>
      <c r="B11" s="237" t="s">
        <v>371</v>
      </c>
      <c r="C11" s="295" t="s">
        <v>355</v>
      </c>
      <c r="D11" s="181">
        <v>4</v>
      </c>
      <c r="E11" s="279">
        <v>60</v>
      </c>
      <c r="F11" s="128">
        <v>6.41</v>
      </c>
      <c r="G11" s="128">
        <f>F11*D11</f>
        <v>25.64</v>
      </c>
      <c r="H11" s="174">
        <f>G11/E11</f>
        <v>0.43</v>
      </c>
    </row>
    <row r="12" spans="1:8" ht="15" customHeight="1" x14ac:dyDescent="0.25">
      <c r="A12" s="180">
        <v>51</v>
      </c>
      <c r="B12" s="237" t="s">
        <v>372</v>
      </c>
      <c r="C12" s="295" t="s">
        <v>355</v>
      </c>
      <c r="D12" s="181">
        <v>1</v>
      </c>
      <c r="E12" s="279">
        <v>60</v>
      </c>
      <c r="F12" s="128">
        <v>650</v>
      </c>
      <c r="G12" s="128">
        <f>F12*D12</f>
        <v>650</v>
      </c>
      <c r="H12" s="174">
        <f>G12/E12</f>
        <v>10.83</v>
      </c>
    </row>
    <row r="13" spans="1:8" ht="15" customHeight="1" x14ac:dyDescent="0.25">
      <c r="A13" s="180">
        <v>52</v>
      </c>
      <c r="B13" s="237" t="s">
        <v>373</v>
      </c>
      <c r="C13" s="295" t="s">
        <v>355</v>
      </c>
      <c r="D13" s="181">
        <v>1</v>
      </c>
      <c r="E13" s="279">
        <v>60</v>
      </c>
      <c r="F13" s="128">
        <v>26.49</v>
      </c>
      <c r="G13" s="128">
        <f>F13*D13</f>
        <v>26.49</v>
      </c>
      <c r="H13" s="174">
        <f>G13/E13</f>
        <v>0.44</v>
      </c>
    </row>
    <row r="14" spans="1:8" ht="15" customHeight="1" thickBot="1" x14ac:dyDescent="0.3">
      <c r="A14" s="267">
        <v>53</v>
      </c>
      <c r="B14" s="268" t="s">
        <v>374</v>
      </c>
      <c r="C14" s="296" t="s">
        <v>355</v>
      </c>
      <c r="D14" s="269">
        <v>2</v>
      </c>
      <c r="E14" s="286">
        <v>60</v>
      </c>
      <c r="F14" s="270">
        <v>17.97</v>
      </c>
      <c r="G14" s="270">
        <f>F14*D14</f>
        <v>35.94</v>
      </c>
      <c r="H14" s="271">
        <f>G14/E14</f>
        <v>0.6</v>
      </c>
    </row>
    <row r="15" spans="1:8" ht="15" customHeight="1" thickBot="1" x14ac:dyDescent="0.3">
      <c r="A15" s="513" t="s">
        <v>266</v>
      </c>
      <c r="B15" s="514"/>
      <c r="C15" s="514"/>
      <c r="D15" s="514"/>
      <c r="E15" s="514"/>
      <c r="F15" s="514"/>
      <c r="G15" s="514"/>
      <c r="H15" s="515"/>
    </row>
    <row r="16" spans="1:8" ht="15" customHeight="1" x14ac:dyDescent="0.25">
      <c r="A16" s="290">
        <v>54</v>
      </c>
      <c r="B16" s="280" t="s">
        <v>375</v>
      </c>
      <c r="C16" s="297" t="s">
        <v>355</v>
      </c>
      <c r="D16" s="282">
        <v>8</v>
      </c>
      <c r="E16" s="283">
        <v>60</v>
      </c>
      <c r="F16" s="284">
        <v>21.48</v>
      </c>
      <c r="G16" s="284">
        <f>F16*D16</f>
        <v>171.84</v>
      </c>
      <c r="H16" s="285">
        <f>G16/E16</f>
        <v>2.86</v>
      </c>
    </row>
    <row r="17" spans="1:8" ht="15" customHeight="1" x14ac:dyDescent="0.25">
      <c r="A17" s="180">
        <v>55</v>
      </c>
      <c r="B17" s="237" t="s">
        <v>376</v>
      </c>
      <c r="C17" s="295" t="s">
        <v>355</v>
      </c>
      <c r="D17" s="181">
        <v>8</v>
      </c>
      <c r="E17" s="279">
        <v>60</v>
      </c>
      <c r="F17" s="128">
        <v>21.48</v>
      </c>
      <c r="G17" s="128">
        <f>F17*D17</f>
        <v>171.84</v>
      </c>
      <c r="H17" s="174">
        <f>G17/E17</f>
        <v>2.86</v>
      </c>
    </row>
    <row r="18" spans="1:8" ht="15" customHeight="1" x14ac:dyDescent="0.25">
      <c r="A18" s="180">
        <v>56</v>
      </c>
      <c r="B18" s="237" t="s">
        <v>377</v>
      </c>
      <c r="C18" s="295" t="s">
        <v>355</v>
      </c>
      <c r="D18" s="181">
        <v>8</v>
      </c>
      <c r="E18" s="279">
        <v>60</v>
      </c>
      <c r="F18" s="128">
        <v>23</v>
      </c>
      <c r="G18" s="128">
        <f>F18*D18</f>
        <v>184</v>
      </c>
      <c r="H18" s="174">
        <f>G18/E18</f>
        <v>3.07</v>
      </c>
    </row>
    <row r="19" spans="1:8" ht="15" customHeight="1" x14ac:dyDescent="0.25">
      <c r="A19" s="180">
        <v>57</v>
      </c>
      <c r="B19" s="237" t="s">
        <v>378</v>
      </c>
      <c r="C19" s="295" t="s">
        <v>355</v>
      </c>
      <c r="D19" s="181">
        <v>4</v>
      </c>
      <c r="E19" s="279">
        <v>60</v>
      </c>
      <c r="F19" s="128">
        <v>22.35</v>
      </c>
      <c r="G19" s="128">
        <f>F19*D19</f>
        <v>89.4</v>
      </c>
      <c r="H19" s="174">
        <f>G19/E19</f>
        <v>1.49</v>
      </c>
    </row>
    <row r="20" spans="1:8" ht="15" customHeight="1" x14ac:dyDescent="0.25">
      <c r="A20" s="180">
        <v>58</v>
      </c>
      <c r="B20" s="237" t="s">
        <v>379</v>
      </c>
      <c r="C20" s="295" t="s">
        <v>355</v>
      </c>
      <c r="D20" s="197">
        <v>18</v>
      </c>
      <c r="E20" s="279">
        <v>60</v>
      </c>
      <c r="F20" s="128">
        <v>54.35</v>
      </c>
      <c r="G20" s="128">
        <f>F20*D20</f>
        <v>978.3</v>
      </c>
      <c r="H20" s="174">
        <f>G20/E20</f>
        <v>16.309999999999999</v>
      </c>
    </row>
    <row r="21" spans="1:8" ht="15" customHeight="1" x14ac:dyDescent="0.25">
      <c r="A21" s="180">
        <v>59</v>
      </c>
      <c r="B21" s="237" t="s">
        <v>380</v>
      </c>
      <c r="C21" s="295" t="s">
        <v>355</v>
      </c>
      <c r="D21" s="181">
        <v>5</v>
      </c>
      <c r="E21" s="279">
        <v>60</v>
      </c>
      <c r="F21" s="128">
        <v>50.14</v>
      </c>
      <c r="G21" s="128">
        <f>F21*D21</f>
        <v>250.7</v>
      </c>
      <c r="H21" s="174">
        <f>G21/E21</f>
        <v>4.18</v>
      </c>
    </row>
    <row r="22" spans="1:8" ht="30" customHeight="1" x14ac:dyDescent="0.25">
      <c r="A22" s="180">
        <v>60</v>
      </c>
      <c r="B22" s="237" t="s">
        <v>381</v>
      </c>
      <c r="C22" s="295" t="s">
        <v>355</v>
      </c>
      <c r="D22" s="181">
        <v>2</v>
      </c>
      <c r="E22" s="279">
        <v>60</v>
      </c>
      <c r="F22" s="128">
        <v>425.82</v>
      </c>
      <c r="G22" s="128">
        <f>F22*D22</f>
        <v>851.64</v>
      </c>
      <c r="H22" s="174">
        <f>G22/E22</f>
        <v>14.19</v>
      </c>
    </row>
    <row r="23" spans="1:8" ht="30" customHeight="1" thickBot="1" x14ac:dyDescent="0.3">
      <c r="A23" s="291">
        <v>61</v>
      </c>
      <c r="B23" s="268" t="s">
        <v>382</v>
      </c>
      <c r="C23" s="296" t="s">
        <v>355</v>
      </c>
      <c r="D23" s="269">
        <v>3</v>
      </c>
      <c r="E23" s="286">
        <v>60</v>
      </c>
      <c r="F23" s="270">
        <v>1267.71</v>
      </c>
      <c r="G23" s="270">
        <f>F23*D23</f>
        <v>3803.13</v>
      </c>
      <c r="H23" s="271">
        <f>G23/E23</f>
        <v>63.39</v>
      </c>
    </row>
    <row r="24" spans="1:8" ht="15.75" thickBot="1" x14ac:dyDescent="0.3">
      <c r="A24" s="511"/>
      <c r="B24" s="512"/>
      <c r="C24" s="512"/>
      <c r="D24" s="512"/>
      <c r="E24" s="512"/>
      <c r="F24" s="512"/>
      <c r="G24" s="288">
        <f>SUM(G3:G23)</f>
        <v>13185.05</v>
      </c>
      <c r="H24" s="289">
        <f>SUM(H3:H23)</f>
        <v>219.77</v>
      </c>
    </row>
    <row r="25" spans="1:8" ht="15.75" thickBot="1" x14ac:dyDescent="0.3">
      <c r="A25" s="505" t="s">
        <v>223</v>
      </c>
      <c r="B25" s="506"/>
      <c r="C25" s="506"/>
      <c r="D25" s="506"/>
      <c r="E25" s="506"/>
      <c r="F25" s="506"/>
      <c r="G25" s="507"/>
      <c r="H25" s="235">
        <f>H24/2</f>
        <v>109.89</v>
      </c>
    </row>
  </sheetData>
  <mergeCells count="4">
    <mergeCell ref="A25:G25"/>
    <mergeCell ref="A1:H1"/>
    <mergeCell ref="A24:F24"/>
    <mergeCell ref="A15:H15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Plan2</vt:lpstr>
      <vt:lpstr>Plan3</vt:lpstr>
      <vt:lpstr>Planilha</vt:lpstr>
      <vt:lpstr>M2</vt:lpstr>
      <vt:lpstr>Auxiliar de Limpeza - Diurno</vt:lpstr>
      <vt:lpstr>Auxiliar de Limpeza - Noturno</vt:lpstr>
      <vt:lpstr>Uniformes </vt:lpstr>
      <vt:lpstr>Material de Limpeza</vt:lpstr>
      <vt:lpstr>Equipamentos</vt:lpstr>
      <vt:lpstr>'Auxiliar de Limpeza - Diurno'!Area_de_impressao</vt:lpstr>
      <vt:lpstr>'Auxiliar de Limpeza - Noturno'!Area_de_impressao</vt:lpstr>
      <vt:lpstr>'M2'!Area_de_impressao</vt:lpstr>
      <vt:lpstr>'Material de Limpeza'!Area_de_impressao</vt:lpstr>
      <vt:lpstr>'Uniformes '!Area_de_impressao</vt:lpstr>
      <vt:lpstr>'Auxiliar de Limpeza - Diurno'!Titulos_de_impressao</vt:lpstr>
      <vt:lpstr>'Auxiliar de Limpeza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2025-05-07T19:16:17Z</cp:lastPrinted>
  <dcterms:created xsi:type="dcterms:W3CDTF">2014-04-11T01:53:38Z</dcterms:created>
  <dcterms:modified xsi:type="dcterms:W3CDTF">2025-05-07T19:16:41Z</dcterms:modified>
</cp:coreProperties>
</file>